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ummary " sheetId="1" r:id="rId1"/>
    <sheet name="Pallet 1" sheetId="2" r:id="rId2"/>
    <sheet name="Pallet 2" sheetId="3" r:id="rId3"/>
    <sheet name="Pallet 3" sheetId="4" r:id="rId4"/>
    <sheet name="Pallet 4" sheetId="5" r:id="rId5"/>
    <sheet name="Pallet 5" sheetId="6" r:id="rId6"/>
    <sheet name="Pallet 6" sheetId="7" r:id="rId7"/>
    <sheet name="Pallet 7" sheetId="8" r:id="rId8"/>
    <sheet name="Pallet 8" sheetId="9" r:id="rId9"/>
    <sheet name="Pallet 9" sheetId="10" r:id="rId10"/>
    <sheet name="Pallet 10" sheetId="11" r:id="rId11"/>
    <sheet name="Pallet 11" sheetId="12" r:id="rId12"/>
    <sheet name="Pallet 12" sheetId="13" r:id="rId13"/>
    <sheet name="Pallet 13" sheetId="14" r:id="rId14"/>
    <sheet name="Pallet 14" sheetId="15" r:id="rId15"/>
    <sheet name="Pallet 15" sheetId="17" r:id="rId16"/>
    <sheet name="Pallet 16" sheetId="18" r:id="rId17"/>
    <sheet name="Pallet 17" sheetId="19" r:id="rId18"/>
    <sheet name="Pallet 18" sheetId="20" r:id="rId19"/>
    <sheet name="Pallet 19" sheetId="21" r:id="rId20"/>
    <sheet name="Pallet 20" sheetId="22" r:id="rId21"/>
    <sheet name="Pallet 21" sheetId="23" r:id="rId22"/>
    <sheet name="Pallet 22" sheetId="24" r:id="rId23"/>
    <sheet name="Pallet 23" sheetId="25" r:id="rId24"/>
    <sheet name="Pallet 24" sheetId="26" r:id="rId25"/>
    <sheet name="Pallet 25" sheetId="27" r:id="rId26"/>
    <sheet name="Pallet 26" sheetId="28" r:id="rId27"/>
    <sheet name="Pallet 27" sheetId="29" r:id="rId28"/>
    <sheet name="Pallet 28" sheetId="30" r:id="rId29"/>
    <sheet name="Pallet 29" sheetId="31" r:id="rId30"/>
    <sheet name="Pallet 30" sheetId="32" r:id="rId31"/>
  </sheets>
  <calcPr calcId="181029"/>
</workbook>
</file>

<file path=xl/calcChain.xml><?xml version="1.0" encoding="utf-8"?>
<calcChain xmlns="http://schemas.openxmlformats.org/spreadsheetml/2006/main">
  <c r="L37" i="32" l="1"/>
  <c r="L36" i="32"/>
  <c r="L35" i="32"/>
  <c r="L34" i="32"/>
  <c r="L33" i="32"/>
  <c r="L32" i="32"/>
  <c r="L31" i="32"/>
  <c r="L30" i="32"/>
  <c r="L29" i="32"/>
  <c r="L28" i="32"/>
  <c r="L27" i="32"/>
  <c r="L26" i="32"/>
  <c r="L25" i="32"/>
  <c r="L24" i="32"/>
  <c r="L23" i="32"/>
  <c r="L22" i="32"/>
  <c r="L21" i="32"/>
  <c r="L20" i="32"/>
  <c r="L19" i="32"/>
  <c r="L18" i="32"/>
  <c r="L17" i="32"/>
  <c r="L16" i="32"/>
  <c r="L15" i="32"/>
  <c r="L14" i="32"/>
  <c r="L13" i="32"/>
  <c r="L12" i="32"/>
  <c r="L11" i="32"/>
  <c r="L10" i="32"/>
  <c r="L9" i="32"/>
  <c r="L8" i="32"/>
  <c r="L7" i="32"/>
  <c r="L6" i="32"/>
  <c r="L5" i="32"/>
  <c r="L4" i="32"/>
  <c r="L3" i="32"/>
  <c r="L2" i="32"/>
  <c r="L43" i="31"/>
  <c r="L42" i="31"/>
  <c r="L41" i="31"/>
  <c r="L40" i="31"/>
  <c r="L39" i="31"/>
  <c r="L38" i="31"/>
  <c r="L37" i="31"/>
  <c r="L36" i="31"/>
  <c r="L35" i="31"/>
  <c r="L34" i="31"/>
  <c r="L33" i="31"/>
  <c r="L32" i="31"/>
  <c r="L31" i="31"/>
  <c r="L30" i="31"/>
  <c r="L29" i="31"/>
  <c r="L28" i="31"/>
  <c r="L27" i="31"/>
  <c r="L26" i="31"/>
  <c r="L25" i="31"/>
  <c r="L24" i="31"/>
  <c r="L23" i="31"/>
  <c r="L22" i="31"/>
  <c r="L21" i="31"/>
  <c r="L20" i="31"/>
  <c r="L19" i="31"/>
  <c r="L18" i="31"/>
  <c r="L17" i="31"/>
  <c r="L16" i="31"/>
  <c r="L15" i="31"/>
  <c r="L14" i="31"/>
  <c r="L13" i="31"/>
  <c r="L12" i="31"/>
  <c r="L11" i="31"/>
  <c r="L10" i="31"/>
  <c r="L9" i="31"/>
  <c r="L8" i="31"/>
  <c r="L7" i="31"/>
  <c r="L6" i="31"/>
  <c r="L5" i="31"/>
  <c r="L4" i="31"/>
  <c r="L3" i="31"/>
  <c r="L2" i="31"/>
  <c r="L53" i="30"/>
  <c r="L52" i="30"/>
  <c r="L51" i="30"/>
  <c r="L50" i="30"/>
  <c r="L49" i="30"/>
  <c r="L48" i="30"/>
  <c r="L47" i="30"/>
  <c r="L46" i="30"/>
  <c r="L45" i="30"/>
  <c r="L44" i="30"/>
  <c r="L43" i="30"/>
  <c r="L42" i="30"/>
  <c r="L41" i="30"/>
  <c r="L40" i="30"/>
  <c r="L39" i="30"/>
  <c r="L38" i="30"/>
  <c r="L37" i="30"/>
  <c r="L36" i="30"/>
  <c r="L35" i="30"/>
  <c r="L34" i="30"/>
  <c r="L33" i="30"/>
  <c r="L32" i="30"/>
  <c r="L31" i="30"/>
  <c r="L30" i="30"/>
  <c r="L29" i="30"/>
  <c r="L28" i="30"/>
  <c r="L27" i="30"/>
  <c r="L26" i="30"/>
  <c r="L25" i="30"/>
  <c r="L24" i="30"/>
  <c r="L23" i="30"/>
  <c r="L22" i="30"/>
  <c r="L21" i="30"/>
  <c r="L20" i="30"/>
  <c r="L19" i="30"/>
  <c r="L18" i="30"/>
  <c r="L17" i="30"/>
  <c r="L16" i="30"/>
  <c r="L15" i="30"/>
  <c r="L14" i="30"/>
  <c r="L13" i="30"/>
  <c r="L12" i="30"/>
  <c r="L11" i="30"/>
  <c r="L10" i="30"/>
  <c r="L9" i="30"/>
  <c r="L8" i="30"/>
  <c r="L7" i="30"/>
  <c r="L6" i="30"/>
  <c r="L5" i="30"/>
  <c r="L4" i="30"/>
  <c r="L3" i="30"/>
  <c r="L2" i="30"/>
  <c r="L55" i="29"/>
  <c r="L54" i="29"/>
  <c r="L53" i="29"/>
  <c r="L52" i="29"/>
  <c r="L51" i="29"/>
  <c r="L50" i="29"/>
  <c r="L49" i="29"/>
  <c r="L48" i="29"/>
  <c r="L47" i="29"/>
  <c r="L46" i="29"/>
  <c r="L45" i="29"/>
  <c r="L44" i="29"/>
  <c r="L43" i="29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L9" i="29"/>
  <c r="L8" i="29"/>
  <c r="L7" i="29"/>
  <c r="L6" i="29"/>
  <c r="L5" i="29"/>
  <c r="L4" i="29"/>
  <c r="L3" i="29"/>
  <c r="L2" i="29"/>
  <c r="L45" i="28"/>
  <c r="L44" i="28"/>
  <c r="L43" i="28"/>
  <c r="L42" i="28"/>
  <c r="L41" i="28"/>
  <c r="L40" i="28"/>
  <c r="L39" i="28"/>
  <c r="L38" i="28"/>
  <c r="L37" i="28"/>
  <c r="L36" i="28"/>
  <c r="L35" i="28"/>
  <c r="L34" i="28"/>
  <c r="L33" i="28"/>
  <c r="L32" i="28"/>
  <c r="L31" i="28"/>
  <c r="L30" i="28"/>
  <c r="L29" i="28"/>
  <c r="L28" i="28"/>
  <c r="L27" i="28"/>
  <c r="L26" i="28"/>
  <c r="L25" i="28"/>
  <c r="L24" i="28"/>
  <c r="L23" i="28"/>
  <c r="L22" i="28"/>
  <c r="L21" i="28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L7" i="28"/>
  <c r="L6" i="28"/>
  <c r="L5" i="28"/>
  <c r="L4" i="28"/>
  <c r="L3" i="28"/>
  <c r="L2" i="28"/>
  <c r="L53" i="27"/>
  <c r="L52" i="27"/>
  <c r="L51" i="27"/>
  <c r="L50" i="27"/>
  <c r="L49" i="27"/>
  <c r="L48" i="27"/>
  <c r="L47" i="27"/>
  <c r="L46" i="27"/>
  <c r="L45" i="27"/>
  <c r="L44" i="27"/>
  <c r="L43" i="27"/>
  <c r="L42" i="27"/>
  <c r="L41" i="27"/>
  <c r="L40" i="27"/>
  <c r="L39" i="27"/>
  <c r="L38" i="27"/>
  <c r="L37" i="27"/>
  <c r="L36" i="27"/>
  <c r="L35" i="27"/>
  <c r="L34" i="27"/>
  <c r="L33" i="27"/>
  <c r="L32" i="27"/>
  <c r="L31" i="27"/>
  <c r="L30" i="27"/>
  <c r="L29" i="27"/>
  <c r="L28" i="27"/>
  <c r="L27" i="27"/>
  <c r="L26" i="27"/>
  <c r="L25" i="27"/>
  <c r="L24" i="27"/>
  <c r="L23" i="27"/>
  <c r="L22" i="27"/>
  <c r="L21" i="27"/>
  <c r="L20" i="27"/>
  <c r="L19" i="27"/>
  <c r="L18" i="27"/>
  <c r="L17" i="27"/>
  <c r="L16" i="27"/>
  <c r="L15" i="27"/>
  <c r="L14" i="27"/>
  <c r="L13" i="27"/>
  <c r="L12" i="27"/>
  <c r="L11" i="27"/>
  <c r="L10" i="27"/>
  <c r="L9" i="27"/>
  <c r="L8" i="27"/>
  <c r="L7" i="27"/>
  <c r="L6" i="27"/>
  <c r="L5" i="27"/>
  <c r="L4" i="27"/>
  <c r="L3" i="27"/>
  <c r="L2" i="27"/>
  <c r="L43" i="26"/>
  <c r="L42" i="26"/>
  <c r="L41" i="26"/>
  <c r="L40" i="26"/>
  <c r="L39" i="26"/>
  <c r="L38" i="26"/>
  <c r="L37" i="26"/>
  <c r="L36" i="26"/>
  <c r="L35" i="26"/>
  <c r="L34" i="26"/>
  <c r="L33" i="26"/>
  <c r="L32" i="26"/>
  <c r="L31" i="26"/>
  <c r="L30" i="26"/>
  <c r="L29" i="26"/>
  <c r="L28" i="26"/>
  <c r="L27" i="26"/>
  <c r="L26" i="26"/>
  <c r="L25" i="26"/>
  <c r="L24" i="26"/>
  <c r="L23" i="26"/>
  <c r="L22" i="26"/>
  <c r="L21" i="26"/>
  <c r="L20" i="26"/>
  <c r="L19" i="26"/>
  <c r="L18" i="26"/>
  <c r="L17" i="26"/>
  <c r="L16" i="26"/>
  <c r="L15" i="26"/>
  <c r="L14" i="26"/>
  <c r="L13" i="26"/>
  <c r="L12" i="26"/>
  <c r="L11" i="26"/>
  <c r="L10" i="26"/>
  <c r="L9" i="26"/>
  <c r="L8" i="26"/>
  <c r="L7" i="26"/>
  <c r="L6" i="26"/>
  <c r="L5" i="26"/>
  <c r="L4" i="26"/>
  <c r="L3" i="26"/>
  <c r="L2" i="26"/>
  <c r="L56" i="25"/>
  <c r="L55" i="25"/>
  <c r="L54" i="25"/>
  <c r="L53" i="25"/>
  <c r="L52" i="25"/>
  <c r="L51" i="25"/>
  <c r="L50" i="25"/>
  <c r="L49" i="25"/>
  <c r="L48" i="25"/>
  <c r="L47" i="25"/>
  <c r="L46" i="25"/>
  <c r="L45" i="25"/>
  <c r="L44" i="25"/>
  <c r="L43" i="25"/>
  <c r="L42" i="25"/>
  <c r="L41" i="25"/>
  <c r="L40" i="25"/>
  <c r="L39" i="25"/>
  <c r="L38" i="25"/>
  <c r="L37" i="25"/>
  <c r="L36" i="25"/>
  <c r="L35" i="25"/>
  <c r="L34" i="25"/>
  <c r="L33" i="25"/>
  <c r="L32" i="25"/>
  <c r="L31" i="25"/>
  <c r="L30" i="25"/>
  <c r="L29" i="25"/>
  <c r="L28" i="25"/>
  <c r="L27" i="25"/>
  <c r="L26" i="25"/>
  <c r="L25" i="25"/>
  <c r="L24" i="25"/>
  <c r="L23" i="25"/>
  <c r="L22" i="25"/>
  <c r="L21" i="25"/>
  <c r="L20" i="25"/>
  <c r="L19" i="25"/>
  <c r="L18" i="25"/>
  <c r="L17" i="25"/>
  <c r="L16" i="25"/>
  <c r="L15" i="25"/>
  <c r="L14" i="25"/>
  <c r="L13" i="25"/>
  <c r="L12" i="25"/>
  <c r="L11" i="25"/>
  <c r="L10" i="25"/>
  <c r="L9" i="25"/>
  <c r="L8" i="25"/>
  <c r="L7" i="25"/>
  <c r="L6" i="25"/>
  <c r="L5" i="25"/>
  <c r="L4" i="25"/>
  <c r="L3" i="25"/>
  <c r="L2" i="25"/>
  <c r="L55" i="24"/>
  <c r="L54" i="24"/>
  <c r="L53" i="24"/>
  <c r="L52" i="24"/>
  <c r="L51" i="24"/>
  <c r="L50" i="24"/>
  <c r="L49" i="24"/>
  <c r="L48" i="24"/>
  <c r="L47" i="24"/>
  <c r="L46" i="24"/>
  <c r="L45" i="24"/>
  <c r="L44" i="24"/>
  <c r="L43" i="24"/>
  <c r="L42" i="24"/>
  <c r="L41" i="24"/>
  <c r="L40" i="24"/>
  <c r="L39" i="24"/>
  <c r="L38" i="24"/>
  <c r="L37" i="24"/>
  <c r="L36" i="24"/>
  <c r="L35" i="24"/>
  <c r="L34" i="24"/>
  <c r="L33" i="24"/>
  <c r="L32" i="24"/>
  <c r="L31" i="24"/>
  <c r="L30" i="24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4" i="24"/>
  <c r="L3" i="24"/>
  <c r="L2" i="24"/>
  <c r="L61" i="23"/>
  <c r="L60" i="23"/>
  <c r="L59" i="23"/>
  <c r="L58" i="23"/>
  <c r="L57" i="23"/>
  <c r="L56" i="23"/>
  <c r="L55" i="23"/>
  <c r="L54" i="23"/>
  <c r="L53" i="23"/>
  <c r="L52" i="23"/>
  <c r="L51" i="23"/>
  <c r="L50" i="23"/>
  <c r="L49" i="23"/>
  <c r="L48" i="23"/>
  <c r="L47" i="23"/>
  <c r="L46" i="23"/>
  <c r="L45" i="23"/>
  <c r="L44" i="23"/>
  <c r="L43" i="23"/>
  <c r="L42" i="23"/>
  <c r="L41" i="23"/>
  <c r="L40" i="23"/>
  <c r="L39" i="23"/>
  <c r="L38" i="23"/>
  <c r="L37" i="23"/>
  <c r="L36" i="23"/>
  <c r="L35" i="23"/>
  <c r="L34" i="23"/>
  <c r="L33" i="23"/>
  <c r="L32" i="23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9" i="23"/>
  <c r="L8" i="23"/>
  <c r="L7" i="23"/>
  <c r="L6" i="23"/>
  <c r="L5" i="23"/>
  <c r="L4" i="23"/>
  <c r="L3" i="23"/>
  <c r="L2" i="23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L5" i="22"/>
  <c r="L4" i="22"/>
  <c r="L3" i="22"/>
  <c r="L2" i="22"/>
  <c r="L46" i="21"/>
  <c r="L45" i="21"/>
  <c r="L44" i="21"/>
  <c r="L43" i="21"/>
  <c r="L42" i="21"/>
  <c r="L41" i="21"/>
  <c r="L40" i="21"/>
  <c r="L39" i="21"/>
  <c r="L38" i="21"/>
  <c r="L37" i="21"/>
  <c r="L36" i="21"/>
  <c r="L35" i="21"/>
  <c r="L34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9" i="21"/>
  <c r="L8" i="21"/>
  <c r="L7" i="21"/>
  <c r="L6" i="21"/>
  <c r="L5" i="21"/>
  <c r="L4" i="21"/>
  <c r="L3" i="21"/>
  <c r="L2" i="21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5" i="20"/>
  <c r="L4" i="20"/>
  <c r="L3" i="20"/>
  <c r="L2" i="20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4" i="19"/>
  <c r="L3" i="19"/>
  <c r="L2" i="19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L3" i="18"/>
  <c r="L2" i="18"/>
  <c r="L42" i="17"/>
  <c r="L41" i="17"/>
  <c r="L40" i="17"/>
  <c r="L39" i="17"/>
  <c r="L38" i="17"/>
  <c r="L37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L2" i="17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L4" i="15"/>
  <c r="L3" i="15"/>
  <c r="L2" i="15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3" i="12"/>
  <c r="L2" i="12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3" i="11"/>
  <c r="L2" i="11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4" i="10"/>
  <c r="L3" i="10"/>
  <c r="L2" i="10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4" i="9"/>
  <c r="L3" i="9"/>
  <c r="L2" i="9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L2" i="8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L2" i="7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B32" i="1"/>
  <c r="A32" i="1"/>
</calcChain>
</file>

<file path=xl/sharedStrings.xml><?xml version="1.0" encoding="utf-8"?>
<sst xmlns="http://schemas.openxmlformats.org/spreadsheetml/2006/main" count="11605" uniqueCount="4432">
  <si>
    <t>Sun Zero Sun Zero Grant 54 x 95 Rod P Plum 54x95</t>
  </si>
  <si>
    <t>GRANT</t>
  </si>
  <si>
    <t>29927509755</t>
  </si>
  <si>
    <t>Sun Zero Sun Zero Grant 54 x 95 Rod P Grey 54x95</t>
  </si>
  <si>
    <t>91116725567</t>
  </si>
  <si>
    <t>Sanders Holiday Microfiber 4 Piece Twi Micha Plaid Twin</t>
  </si>
  <si>
    <t>HDYSS3T</t>
  </si>
  <si>
    <t>BRIGHT RED</t>
  </si>
  <si>
    <t>29927532050</t>
  </si>
  <si>
    <t>Sun Zero Sun Zero Grant 54 x 18 Valan Flax 54x18</t>
  </si>
  <si>
    <t>DARKYELLOW</t>
  </si>
  <si>
    <t>646998648512</t>
  </si>
  <si>
    <t>Curtainworks Starry Night 40 x 84 Room-Da Pink 40x84</t>
  </si>
  <si>
    <t>1-82470GPK</t>
  </si>
  <si>
    <t>733001430230</t>
  </si>
  <si>
    <t>Martha Stewart Collection Faux-Fur Pom Pom 10 Round Dec White</t>
  </si>
  <si>
    <t>732998284277</t>
  </si>
  <si>
    <t>Charter Club Damask Supima Cotton 550-Threa Moss Standard Pillowcases</t>
  </si>
  <si>
    <t>DLLSLSPCMOS</t>
  </si>
  <si>
    <t>29927198782</t>
  </si>
  <si>
    <t>No. 918 No. 918 Sheer Voile 59 x 63 Eggshell 59x63</t>
  </si>
  <si>
    <t>848405033175</t>
  </si>
  <si>
    <t>Mainstream International Inc. Sonata Cotton 12 x 12 Wash T Grey No Size</t>
  </si>
  <si>
    <t>MACLSC194108</t>
  </si>
  <si>
    <t>25521670884</t>
  </si>
  <si>
    <t>Calvin Klein Light Warmth Down FullQueen C White FullQueen</t>
  </si>
  <si>
    <t>CALVIN KLEIN/HOLLANDER SLEEP</t>
  </si>
  <si>
    <t>COTTON; WHITE DOWN FILL</t>
  </si>
  <si>
    <t>883893721654</t>
  </si>
  <si>
    <t>Laura Ashley Cassidy FullQueen Comforter B Soft Yellow FullQueen</t>
  </si>
  <si>
    <t>USHS8K1184508</t>
  </si>
  <si>
    <t>735837574232</t>
  </si>
  <si>
    <t>Hotel Collection European White Goose Down Soft White King</t>
  </si>
  <si>
    <t>HWGDKS11</t>
  </si>
  <si>
    <t>840053022006</t>
  </si>
  <si>
    <t>Better Trends Natick Queen Bedspread Natural</t>
  </si>
  <si>
    <t>SS-BSNAQUNA</t>
  </si>
  <si>
    <t>810015870242</t>
  </si>
  <si>
    <t>Bedgear Level 2.0 Pillow White Standard</t>
  </si>
  <si>
    <t>BGP104AMBP-MCY</t>
  </si>
  <si>
    <t>BEDGEAR LLC</t>
  </si>
  <si>
    <t>DRI-TEC</t>
  </si>
  <si>
    <t>675716977238</t>
  </si>
  <si>
    <t>Intelligent Design Raina 5-Pc. FullQueen Comfort AquaSilver FullQueen</t>
  </si>
  <si>
    <t>ID10-1241</t>
  </si>
  <si>
    <t>783048117182</t>
  </si>
  <si>
    <t>London Fog Embossed Stripe Seersucker Dow White FullQueen</t>
  </si>
  <si>
    <t>CF2963QN-1600</t>
  </si>
  <si>
    <t>86569065858</t>
  </si>
  <si>
    <t>Intelligent Design Benny 5-Pc. FullQueen Duvet S White FullQueen</t>
  </si>
  <si>
    <t>ID12-1346</t>
  </si>
  <si>
    <t>706258549277</t>
  </si>
  <si>
    <t>Martha Stewart Collection Cotton Percale 400-Thread Coun Coral Full</t>
  </si>
  <si>
    <t>T4PRFLSAMC</t>
  </si>
  <si>
    <t>635983499598</t>
  </si>
  <si>
    <t>Ella Jayne Overstuffed Plush MediumFirm White Standard</t>
  </si>
  <si>
    <t>BMI10191L2S</t>
  </si>
  <si>
    <t>628961002385</t>
  </si>
  <si>
    <t>Kensington Garden Dover King Cotton Rich Cool Co Grey King</t>
  </si>
  <si>
    <t>JET9821</t>
  </si>
  <si>
    <t>636206783722</t>
  </si>
  <si>
    <t>Hotel Collection Embroidered Frame European Sha White European Sham</t>
  </si>
  <si>
    <t>EW14ES790</t>
  </si>
  <si>
    <t>657812152641</t>
  </si>
  <si>
    <t>Biddeford Quilted Electric Full Mattress White Full</t>
  </si>
  <si>
    <t>5251-5032121-100</t>
  </si>
  <si>
    <t>42075534097</t>
  </si>
  <si>
    <t>Michael Aram Michael Aram After The Storm S Surf Standard Sham</t>
  </si>
  <si>
    <t>2-00860SSF</t>
  </si>
  <si>
    <t>706258994534</t>
  </si>
  <si>
    <t>Hotel Collection Speckle 16 x 16 Decorative P Pink</t>
  </si>
  <si>
    <t>HOTEL COLLECTION-EDI/FASHION ACCESS</t>
  </si>
  <si>
    <t>FABRIC: VISCOSE/COTTON; FILL: POLYESTER</t>
  </si>
  <si>
    <t>734737671751</t>
  </si>
  <si>
    <t>Sunham Hanna 12-Pc. Reversible Floral Blkwhite Queen</t>
  </si>
  <si>
    <t>191790044807</t>
  </si>
  <si>
    <t>Austin Home Collection T950 EMRSN GRY CK Blue California King</t>
  </si>
  <si>
    <t>26002105002AQT</t>
  </si>
  <si>
    <t>732999521654</t>
  </si>
  <si>
    <t>Hotel Collection Hotel Collection Cambria King White King</t>
  </si>
  <si>
    <t>100105510KG</t>
  </si>
  <si>
    <t>734737474963</t>
  </si>
  <si>
    <t>Lacoste Home Solid Percale Full Sheet Set Plum Full</t>
  </si>
  <si>
    <t>COTTON PERCALE</t>
  </si>
  <si>
    <t>732999464203</t>
  </si>
  <si>
    <t>Hotel Collection Primaloft Cool Medium Standard White StandardQueen</t>
  </si>
  <si>
    <t>100105541SQ</t>
  </si>
  <si>
    <t>675716556990</t>
  </si>
  <si>
    <t>Madison Park Reversible Ruched Faux-Fur Thr Brown 50x60</t>
  </si>
  <si>
    <t>MP50-1084</t>
  </si>
  <si>
    <t>FAUX-FUR FACE: POLYESTER; FAUX-FUR BACK: 220 GRAMS PER SQUARE METER POLYESTER</t>
  </si>
  <si>
    <t>732998964360</t>
  </si>
  <si>
    <t>Hotel Collection Hotel Olympia King Sham, Creat White King Sham</t>
  </si>
  <si>
    <t>100078205KG</t>
  </si>
  <si>
    <t>812209029443</t>
  </si>
  <si>
    <t>Tadpoles Sleeping Partners Dachshund Do Taupe FullQueen</t>
  </si>
  <si>
    <t>HNGHOUNDFQ</t>
  </si>
  <si>
    <t>100% POLYESTER MICROFIBER, FILL, 50% COTTON 50% POLYESTER</t>
  </si>
  <si>
    <t>10482002836</t>
  </si>
  <si>
    <t>Fresh Ideas Allergy Relief Fitted Mattress White Full</t>
  </si>
  <si>
    <t>FRE103XXWHIT02</t>
  </si>
  <si>
    <t>POLYESTER/COTTON WITH POLYURETHANE FILM LINING</t>
  </si>
  <si>
    <t>675716956851</t>
  </si>
  <si>
    <t>Madison Park Harper 42 x 95 Solid Crushed Aqua 42x95</t>
  </si>
  <si>
    <t>MP40-4490</t>
  </si>
  <si>
    <t>190945099747</t>
  </si>
  <si>
    <t>Levtex Catalina Fish Print Reversible Blue 50x60</t>
  </si>
  <si>
    <t>L10390QT</t>
  </si>
  <si>
    <t>689192611746</t>
  </si>
  <si>
    <t>Ella Jayne 100 Cotton Percale Pillow Pro White King</t>
  </si>
  <si>
    <t>IYS-2PPWCP3</t>
  </si>
  <si>
    <t>100% COTTON PERCALE</t>
  </si>
  <si>
    <t>807709779547</t>
  </si>
  <si>
    <t>Spa 251 Waffle Complete Shower Curtain White 70X72</t>
  </si>
  <si>
    <t>CSCDLWH</t>
  </si>
  <si>
    <t>BABY SIGNATURE DBA DAINTY HOME INC</t>
  </si>
  <si>
    <t>840970107008</t>
  </si>
  <si>
    <t>Cathay Home Inc. Dobby Stripe 4-Pc Full Sheet S Sage Full</t>
  </si>
  <si>
    <t>108180-F-SA</t>
  </si>
  <si>
    <t>10482349078</t>
  </si>
  <si>
    <t>All-In-One Easy Care Queen Mattress Prote White</t>
  </si>
  <si>
    <t>ALL166XXWHIT03</t>
  </si>
  <si>
    <t>TOP: POLYESTER; BOTTOM INNER FLAP: POLYPROPYLENE/POLYETHYLENE; LINING: POLYURETHANE; SIDEWALL: POLYESTER</t>
  </si>
  <si>
    <t>734737615267</t>
  </si>
  <si>
    <t>Sunham Haven Solid 350-Thread Count 4 Blue Queen</t>
  </si>
  <si>
    <t>734737615113</t>
  </si>
  <si>
    <t>Sunham Haven Solid 350-Thread Count 4 White Queen</t>
  </si>
  <si>
    <t>734737552388</t>
  </si>
  <si>
    <t>Sunham Colesville 3-Pc. Comforter Set Blush FullQueen</t>
  </si>
  <si>
    <t>18953122V</t>
  </si>
  <si>
    <t>706254463751</t>
  </si>
  <si>
    <t>Hotel Collection MicroCotton Plus 33 x 70 Bat Ivory Bath Sheets</t>
  </si>
  <si>
    <t>HTLMCSIVR</t>
  </si>
  <si>
    <t>739550350944</t>
  </si>
  <si>
    <t>Elrene Colette Faux Silk Tassel Scall Red 48x21</t>
  </si>
  <si>
    <t>96189RED</t>
  </si>
  <si>
    <t>21864276967</t>
  </si>
  <si>
    <t>Avanti Bath Towels, Bradford 27 x 50 Linen</t>
  </si>
  <si>
    <t>017891LIN</t>
  </si>
  <si>
    <t>29927509489</t>
  </si>
  <si>
    <t>Sun Zero Sun Zero Preston 40 x 95 Gro Pearl 40x95</t>
  </si>
  <si>
    <t>706257414866</t>
  </si>
  <si>
    <t>Charter Club Damask Designs 12 x 18 Decor Relax 12x18</t>
  </si>
  <si>
    <t>D1218RELAX</t>
  </si>
  <si>
    <t>12X18</t>
  </si>
  <si>
    <t>COTTON; FILL: POLYESTER</t>
  </si>
  <si>
    <t>29927524482</t>
  </si>
  <si>
    <t>ALL POLYESTER</t>
  </si>
  <si>
    <t>706258091257</t>
  </si>
  <si>
    <t>Charter Club Damask Cotton 210-Thread Count White European Sham</t>
  </si>
  <si>
    <t>DSKQLTCEUWH</t>
  </si>
  <si>
    <t>651896642869</t>
  </si>
  <si>
    <t>Morgan Home Printed Plush 18 Decorative P Jungle Leopard No Size</t>
  </si>
  <si>
    <t>M642869</t>
  </si>
  <si>
    <t>706258050858</t>
  </si>
  <si>
    <t>Charter Club Damask Stripe Supima Cotton 55 Smoke Grey Standard Pillowcases</t>
  </si>
  <si>
    <t>DLLSTSPCSMO</t>
  </si>
  <si>
    <t>608356690373</t>
  </si>
  <si>
    <t>Charter Club Elite Hygro Cotton Bath Towel Smoke Bath Towels</t>
  </si>
  <si>
    <t>CCELITEB</t>
  </si>
  <si>
    <t>746885368919</t>
  </si>
  <si>
    <t>Miller Curtains Window Treatments, Preston Rod Dijon 51x84</t>
  </si>
  <si>
    <t>WC70344413984</t>
  </si>
  <si>
    <t>746885368902</t>
  </si>
  <si>
    <t>Miller Curtains Window Treatments, Preston Rod Dijon 51x63</t>
  </si>
  <si>
    <t>WC70344413963</t>
  </si>
  <si>
    <t>64247038974</t>
  </si>
  <si>
    <t>Exclusive Home Exclusive Home Curtains Cresce Beige 95-98</t>
  </si>
  <si>
    <t>CRESCENDO54X96</t>
  </si>
  <si>
    <t>95 SGL</t>
  </si>
  <si>
    <t>840970172761</t>
  </si>
  <si>
    <t>SW SOLID SS 6PC F AQ</t>
  </si>
  <si>
    <t>SWSS6-001-F-AQ</t>
  </si>
  <si>
    <t>REGFULLSHT</t>
  </si>
  <si>
    <t>846339042607</t>
  </si>
  <si>
    <t>1519002KDVST</t>
  </si>
  <si>
    <t>86569359827</t>
  </si>
  <si>
    <t>INKIVY INKIVY Marta 3 Piece Count Co Natural California King</t>
  </si>
  <si>
    <t>II10-1109</t>
  </si>
  <si>
    <t>840008312411</t>
  </si>
  <si>
    <t>Lucid 3 Gel Foam Mattress Topper, Q Blue Queen</t>
  </si>
  <si>
    <t>DC30QQ30GT</t>
  </si>
  <si>
    <t>193842102701</t>
  </si>
  <si>
    <t>Royal Court Estelle Blue King 4pc. Quilt S Blue King</t>
  </si>
  <si>
    <t>2470006KQLST</t>
  </si>
  <si>
    <t>ROYAL COURT/J QUEEN NEW YORK INC</t>
  </si>
  <si>
    <t>675716921545</t>
  </si>
  <si>
    <t>Madison Park Caroline Queen 7-Pc. Comforter Blue Queen</t>
  </si>
  <si>
    <t>MP10-4322</t>
  </si>
  <si>
    <t>COMFORTER/SHAM/BEDSKIRT: POLYESTER; COMFORTER FILL: POLYESTER; PILLOW FILL: POLYESTER</t>
  </si>
  <si>
    <t>732995559446</t>
  </si>
  <si>
    <t>Charter Club Damask Designs Basket Stripe 3 White FullQueen</t>
  </si>
  <si>
    <t>100045794FQ</t>
  </si>
  <si>
    <t>SHELL: COTTON; THREAD COUNT: 155 (FRONT)/140 (BACK); POLYESTER FILL</t>
  </si>
  <si>
    <t>840008316839</t>
  </si>
  <si>
    <t>Lucid 3 Convoluted Gel Topper, Quee Blue Queen</t>
  </si>
  <si>
    <t>DC30QQ30CSGT</t>
  </si>
  <si>
    <t>732994628648</t>
  </si>
  <si>
    <t>Charter Club Egyptian Cotton 700-Thread Cou White King</t>
  </si>
  <si>
    <t>100029145KG</t>
  </si>
  <si>
    <t>CHARTER CLUB-EDI/BIRLA CENTURY</t>
  </si>
  <si>
    <t>883893687486</t>
  </si>
  <si>
    <t>City Scene City Scene Balta 3-Piece Duvet Brown FullQueen</t>
  </si>
  <si>
    <t>USHSFN1163499</t>
  </si>
  <si>
    <t>706258051435</t>
  </si>
  <si>
    <t>Charter Club Damask Cotton 210-Thread Count Navy King</t>
  </si>
  <si>
    <t>DSKQLTCKGNV</t>
  </si>
  <si>
    <t>706258091004</t>
  </si>
  <si>
    <t>Charter Club Damask Stripe Supima Cotton 55 Cornflower Medium Blue Queen</t>
  </si>
  <si>
    <t>DLLSTQDSCRN</t>
  </si>
  <si>
    <t>811987028266</t>
  </si>
  <si>
    <t>IGH Global Corporation Keila Sherpa Fleece Robe Black Small</t>
  </si>
  <si>
    <t>NS102049S</t>
  </si>
  <si>
    <t>PURE FIBER/IGH GLOBAL CORPORATION</t>
  </si>
  <si>
    <t>POLYESTER FLEECE</t>
  </si>
  <si>
    <t>783048119018</t>
  </si>
  <si>
    <t>Vince Camuto Home Vince Camuto Obelis Metallic 3 Blue FullQueen</t>
  </si>
  <si>
    <t>DCS3434FQ-1800</t>
  </si>
  <si>
    <t>783048118837</t>
  </si>
  <si>
    <t>Christian Siriano New York Christian Siriano New York Spr Multi FullQueen</t>
  </si>
  <si>
    <t>DCS3431FQ-1800</t>
  </si>
  <si>
    <t>783048107299</t>
  </si>
  <si>
    <t>Vince Camuto Home Mirrea FullQueen Duvet Cover Whitepurple FullQueen</t>
  </si>
  <si>
    <t>DCS3221FQ-1800</t>
  </si>
  <si>
    <t>191790036925</t>
  </si>
  <si>
    <t>AQ Textiles Ultra Lux T800 Cotton 4 piece White King</t>
  </si>
  <si>
    <t>24942104001AQT</t>
  </si>
  <si>
    <t>810026171192</t>
  </si>
  <si>
    <t>Cheer Collection Hypoallergenic Down Alternativ White Standard</t>
  </si>
  <si>
    <t>CC-ADP-U</t>
  </si>
  <si>
    <t>CHEER COLLECTION/DIGITALPRINTS USA</t>
  </si>
  <si>
    <t>602545266561</t>
  </si>
  <si>
    <t>Chesapeake Chesapeake Pebbles 2 Piece Bat Sapphire NO SIZE</t>
  </si>
  <si>
    <t>PEBBLES</t>
  </si>
  <si>
    <t>CHESAPEAKE MERCHANDISING INC</t>
  </si>
  <si>
    <t>734737592612</t>
  </si>
  <si>
    <t>Fairfield Square Collection Chelsea 8-Pc. Queen Comforter Multi Queen</t>
  </si>
  <si>
    <t>734737619548</t>
  </si>
  <si>
    <t>Fairfield Square Collection Odyssey Reversible 8-Pc. Comfo Wine Queen</t>
  </si>
  <si>
    <t>734737592605</t>
  </si>
  <si>
    <t>Fairfield Square Collection Chelsea 8-Pc. Queen Comforter Multi Full</t>
  </si>
  <si>
    <t>732996412313</t>
  </si>
  <si>
    <t>Martha Stewart Collection Whim By Martha Stewart Collect Cheetah Queen</t>
  </si>
  <si>
    <t>100057468QN</t>
  </si>
  <si>
    <t>732997393949</t>
  </si>
  <si>
    <t>Hotel Collection Primaloft 450-Thread Count Fir White Standard</t>
  </si>
  <si>
    <t>100083174QN</t>
  </si>
  <si>
    <t>887962336923</t>
  </si>
  <si>
    <t>Jaipur Living Jaipur Living Cannon Chevron T Bluecream</t>
  </si>
  <si>
    <t>THR100011</t>
  </si>
  <si>
    <t>JAIPUR RUGS INC</t>
  </si>
  <si>
    <t>733001092599</t>
  </si>
  <si>
    <t>Hotel Collection Hydrangea Standard Sham Create White Standard Sham</t>
  </si>
  <si>
    <t>100100615SD</t>
  </si>
  <si>
    <t>655385142137</t>
  </si>
  <si>
    <t>Elite Home Elite Home Organic Cotton Full Orchid FullQueen</t>
  </si>
  <si>
    <t>999BLFQ262ORGNC</t>
  </si>
  <si>
    <t>86569111364</t>
  </si>
  <si>
    <t>JLA Home Serene Embroidered 72 x 72 F Red 72X72</t>
  </si>
  <si>
    <t>MCH70-1001</t>
  </si>
  <si>
    <t>POLYESTER 85GSM</t>
  </si>
  <si>
    <t>29927530551</t>
  </si>
  <si>
    <t>Sun Zero Maritza 52 x 95 Theater Grad Linen 52x95</t>
  </si>
  <si>
    <t>706257404577</t>
  </si>
  <si>
    <t>Hotel Collection Cotton 680 Thread Count Set of Ivory Standard</t>
  </si>
  <si>
    <t>68I24STPC</t>
  </si>
  <si>
    <t>726895578300</t>
  </si>
  <si>
    <t>Martha Stewart Collection Solid Open Stock 400-Thread Co Latte Tan Queen Fitted</t>
  </si>
  <si>
    <t>10021050QN</t>
  </si>
  <si>
    <t>87215031685</t>
  </si>
  <si>
    <t>Liora Manne Liora Manne Newport II Ombre S Beige 12x20</t>
  </si>
  <si>
    <t>7FN1S409822</t>
  </si>
  <si>
    <t>TRANS OCEAN IMPORT CO INC</t>
  </si>
  <si>
    <t>MADE IN THE USA OF IMPORTED PARTS</t>
  </si>
  <si>
    <t>732995895438</t>
  </si>
  <si>
    <t>Hotel Collection Metallic Stone European Sham Gold European Sham</t>
  </si>
  <si>
    <t>100038521ER</t>
  </si>
  <si>
    <t>734737636002</t>
  </si>
  <si>
    <t>Sunham The Exotic Floral Twin Comfort Multi Twin</t>
  </si>
  <si>
    <t>675716953355</t>
  </si>
  <si>
    <t>Madison Park Emilia 50 x 26 Lined Faux-Si White 50x26</t>
  </si>
  <si>
    <t>MP41-4453</t>
  </si>
  <si>
    <t>734737615496</t>
  </si>
  <si>
    <t>Sunham Haven Solid 350-Thread Count 3 Dusty Rose Printed Twin</t>
  </si>
  <si>
    <t>29927581713</t>
  </si>
  <si>
    <t>Sun Zero Sun Zero Harper Bright Vibes 1 Orange 40x84</t>
  </si>
  <si>
    <t>29927517033</t>
  </si>
  <si>
    <t>Sun Zero Sun Zero Grant 54 x 63 Gromm Blush 54x63</t>
  </si>
  <si>
    <t>733001843764</t>
  </si>
  <si>
    <t>Charter Club Amara Cotton 300-Thread Count Navy European Sham</t>
  </si>
  <si>
    <t>100115578ER</t>
  </si>
  <si>
    <t>732995473926</t>
  </si>
  <si>
    <t>Charter Club Damask Designs Watercolor Leaf Yellow European Sham</t>
  </si>
  <si>
    <t>100037380ER</t>
  </si>
  <si>
    <t>706257574706</t>
  </si>
  <si>
    <t>Martha Stewart Collection Spa Cotton 19.3 x 32.0 Bath Meringue 19.3 x 32</t>
  </si>
  <si>
    <t>MSSPA1X3MRG</t>
  </si>
  <si>
    <t>WELSPUN USA/MARTHA STEWART-EDI-MMG</t>
  </si>
  <si>
    <t>706258091288</t>
  </si>
  <si>
    <t>Charter Club Damask Cotton 210-Thread Count Navy European Sham</t>
  </si>
  <si>
    <t>DSKQLTCEUNV</t>
  </si>
  <si>
    <t>706258615903</t>
  </si>
  <si>
    <t>Martha Stewart Collection Essentials Quilted Waterproof White Twin XL</t>
  </si>
  <si>
    <t>100058089TX</t>
  </si>
  <si>
    <t>COVER/FILL/SKIRT: ALL POLYESTER.</t>
  </si>
  <si>
    <t>706258090861</t>
  </si>
  <si>
    <t>Charter Club Damask Stripe Supima Cotton 55 White King Pillowcases</t>
  </si>
  <si>
    <t>DLLSTKPCWHT</t>
  </si>
  <si>
    <t>732998379379</t>
  </si>
  <si>
    <t>Charter Club Damask Stripe Cotton 550-Threa White Standard Sham</t>
  </si>
  <si>
    <t>100051414SH</t>
  </si>
  <si>
    <t>FABRIC: 100% COTTON; THREAD COUNT: 550</t>
  </si>
  <si>
    <t>746885344609</t>
  </si>
  <si>
    <t>Miller Curtains Window Treatments, Preston Rod Linen 51x108</t>
  </si>
  <si>
    <t>WC703444236108</t>
  </si>
  <si>
    <t>651896642845</t>
  </si>
  <si>
    <t>Morgan Home CLOSEOUT Printed Plush 18 De Paris Amour No Size</t>
  </si>
  <si>
    <t>M642845</t>
  </si>
  <si>
    <t>651896642852</t>
  </si>
  <si>
    <t>Morgan Home Printed Plush 18 Decorative P Harrison Blush No Size</t>
  </si>
  <si>
    <t>M642852</t>
  </si>
  <si>
    <t>83013076804</t>
  </si>
  <si>
    <t>Croscill Croscill Galleria Brown Califo BrownTeal California King</t>
  </si>
  <si>
    <t>2A0-005O0-6406</t>
  </si>
  <si>
    <t>709271457857</t>
  </si>
  <si>
    <t>Calvin Klein Calvin Klein Modern Cotton Ray Blackcream King</t>
  </si>
  <si>
    <t>1410164-KG-B1-D2</t>
  </si>
  <si>
    <t>51% COTTON/ 49% MODAL</t>
  </si>
  <si>
    <t>733001738596</t>
  </si>
  <si>
    <t>Hotel Collection Willow Bloom King Comforter, C Beige King</t>
  </si>
  <si>
    <t>100117188KG</t>
  </si>
  <si>
    <t>706257253700</t>
  </si>
  <si>
    <t>Hotel Collection 680 Thread-Count King Duvet Co White King</t>
  </si>
  <si>
    <t>68W12KD790</t>
  </si>
  <si>
    <t>5060672324120</t>
  </si>
  <si>
    <t>Nouvelle Home Coastal Stripe FullQueen Comf Blue Multi FullQueen</t>
  </si>
  <si>
    <t>CS93QNCS</t>
  </si>
  <si>
    <t>SKY HOME LLC</t>
  </si>
  <si>
    <t>800298615371</t>
  </si>
  <si>
    <t>DKNY DKNY Modern Velvet 50 x 84 C Charcoal 50x84</t>
  </si>
  <si>
    <t>WED111173L0G</t>
  </si>
  <si>
    <t>750105122427</t>
  </si>
  <si>
    <t>Eddie Bauer Eddie Bauer Best Goose Feather White King</t>
  </si>
  <si>
    <t>OVSPI0100WK</t>
  </si>
  <si>
    <t>COTTON /FEATHERS</t>
  </si>
  <si>
    <t>732997493113</t>
  </si>
  <si>
    <t>Charter Club Damask Thin Stripe Cotton 550- White FullQueen</t>
  </si>
  <si>
    <t>819843017478</t>
  </si>
  <si>
    <t>Linum Home Unisex 100 Turkish Cotton Ter White SM</t>
  </si>
  <si>
    <t>TERRY-ROBE</t>
  </si>
  <si>
    <t>732994719469</t>
  </si>
  <si>
    <t>Hotel Collection Cotton SmallMedium Spa Robe Pencil LXL</t>
  </si>
  <si>
    <t>816651024995</t>
  </si>
  <si>
    <t>ienjoy Home Home Collection Premium Ultra White Queen</t>
  </si>
  <si>
    <t>QLTDAMQIENJ</t>
  </si>
  <si>
    <t>191790023475</t>
  </si>
  <si>
    <t>Fairfield Square Collection Fairfield Square Sydney 825-Th Blue Queen</t>
  </si>
  <si>
    <t>23202103002AQT</t>
  </si>
  <si>
    <t>628961002323</t>
  </si>
  <si>
    <t>Kensington Garden Dover Queen Cotton Rich Cool C White Queen</t>
  </si>
  <si>
    <t>JET9815</t>
  </si>
  <si>
    <t>846339063084</t>
  </si>
  <si>
    <t>J Queen New York Giuliana 33 x 49 Waterfall W Silver ONE SIZE</t>
  </si>
  <si>
    <t>2030046WTRSW</t>
  </si>
  <si>
    <t>675716721602</t>
  </si>
  <si>
    <t>JLA Home Intelligent Design 4-Pc. Jerse Charcoal Queen</t>
  </si>
  <si>
    <t>ID20-694</t>
  </si>
  <si>
    <t>86569227935</t>
  </si>
  <si>
    <t>Martha Stewart Collection Down Alternative Reverse to Pl Doe King</t>
  </si>
  <si>
    <t>709271377483</t>
  </si>
  <si>
    <t>Calvin Klein Modern Cotton Body Queen Flat White Queen</t>
  </si>
  <si>
    <t>121BODY-QN-W1-D3</t>
  </si>
  <si>
    <t>170 GRAMS PER SQUARE METER COTTON/MODAL</t>
  </si>
  <si>
    <t>696445061623</t>
  </si>
  <si>
    <t>Cassadecor Cassadecor Palazzo Vanity Tray Mirror</t>
  </si>
  <si>
    <t>APL-TR</t>
  </si>
  <si>
    <t>KASSATEX INC</t>
  </si>
  <si>
    <t>86569445100</t>
  </si>
  <si>
    <t>Clean Spaces 100 Rayon from Bamboo Sheet B White Queen</t>
  </si>
  <si>
    <t>MCC20-2193</t>
  </si>
  <si>
    <t>86569205827</t>
  </si>
  <si>
    <t>Martha Stewart Collection Down Alternative Reverse to Pl White FullQueen</t>
  </si>
  <si>
    <t>842941140380</t>
  </si>
  <si>
    <t>Tribeca Living Tribeca Living Super Soft Soli White California King</t>
  </si>
  <si>
    <t>MF110DPSSCKWH</t>
  </si>
  <si>
    <t>86569935274</t>
  </si>
  <si>
    <t>Woolrich Burlington Twin Berber Blanket Grey Twin</t>
  </si>
  <si>
    <t>WR51-2211</t>
  </si>
  <si>
    <t>706258051299</t>
  </si>
  <si>
    <t>Charter Club Damask Pima Cotton 550-Thread White Queen</t>
  </si>
  <si>
    <t>DNSLDQNBWHT</t>
  </si>
  <si>
    <t>879074003572</t>
  </si>
  <si>
    <t>Microdry MICRODRY SpeedDry 21 x 34 Chrome</t>
  </si>
  <si>
    <t>SPDDRYLG1</t>
  </si>
  <si>
    <t>MINDS INSYNC INC</t>
  </si>
  <si>
    <t>22415632126</t>
  </si>
  <si>
    <t>Sealy Cool to the Touch Instant Cool White Standard</t>
  </si>
  <si>
    <t>10482003284</t>
  </si>
  <si>
    <t>Fresh Ideas Poplin Tailored Twin Bed Skirt White Twin</t>
  </si>
  <si>
    <t>FRE20114WHIT01</t>
  </si>
  <si>
    <t>32281264376</t>
  </si>
  <si>
    <t>Disney Disney Pillow Buddy Disney Cinderella Standard</t>
  </si>
  <si>
    <t>JF26437</t>
  </si>
  <si>
    <t>29927519211</t>
  </si>
  <si>
    <t>Sun Zero Preston 40 x 84 Blackout Rod Navy 40x84</t>
  </si>
  <si>
    <t>706258090496</t>
  </si>
  <si>
    <t>Charter Club Damask Stripe Pima Cotton 300- White European Sham</t>
  </si>
  <si>
    <t>DLLSTEUHWHT</t>
  </si>
  <si>
    <t>46249647729</t>
  </si>
  <si>
    <t>Tommy Hilfiger Modern American 30 x 54 Cott Seaglass Bath Towels</t>
  </si>
  <si>
    <t>27T0465-BT-S4-E1</t>
  </si>
  <si>
    <t>732996805849</t>
  </si>
  <si>
    <t>Martha Stewart Collection Snow Tree Cotton 2-Pc. Fingert Red Combo Towel Sets</t>
  </si>
  <si>
    <t>706255871791</t>
  </si>
  <si>
    <t>Martha Stewart Collection Quick Dry Reversible Hand Towe Aqua Glass Hand Towels</t>
  </si>
  <si>
    <t>MSQDRHAQ</t>
  </si>
  <si>
    <t>734737534803</t>
  </si>
  <si>
    <t>Sunham Soft Spun Cotton Hand Towel White Hand Towels</t>
  </si>
  <si>
    <t>T18437N011626</t>
  </si>
  <si>
    <t>190945089359</t>
  </si>
  <si>
    <t>Levtex Ipanema Stripe Reversible Full Blue FullQueen</t>
  </si>
  <si>
    <t>L18640FQS</t>
  </si>
  <si>
    <t>86569255051</t>
  </si>
  <si>
    <t>Madison Park Madison Park Harper Velvet 3-P Green FullQueen</t>
  </si>
  <si>
    <t>MP13-6466</t>
  </si>
  <si>
    <t>191790041479</t>
  </si>
  <si>
    <t>AQ Textiles Camden 1250 thread count 4 pc Blush California King</t>
  </si>
  <si>
    <t>25552105139AQT</t>
  </si>
  <si>
    <t>733001362548</t>
  </si>
  <si>
    <t>Martha Stewart Collection Diamond Tufted Velvet Quilted Red Standard Sham</t>
  </si>
  <si>
    <t>100104027ST</t>
  </si>
  <si>
    <t>784857925869</t>
  </si>
  <si>
    <t>Villa Luxe 2-Pc. Faux-Fur Memory Foam Bat Beige No Size</t>
  </si>
  <si>
    <t>YK700128</t>
  </si>
  <si>
    <t>883893484368</t>
  </si>
  <si>
    <t>Stone Cottage Abingdon FullQueen Comforter Green FullQueen</t>
  </si>
  <si>
    <t>STONE COTTAGE/REVMAN INTERNATIONAL</t>
  </si>
  <si>
    <t>732998775317</t>
  </si>
  <si>
    <t>Hotel Collection LAST ACT Hotel Collection Hon Mink FullQueen</t>
  </si>
  <si>
    <t>100079053QN</t>
  </si>
  <si>
    <t>718498145355</t>
  </si>
  <si>
    <t>Shavel Microflannel Solid King Sheet White King</t>
  </si>
  <si>
    <t>MFNSSKGWHI</t>
  </si>
  <si>
    <t>732998795612</t>
  </si>
  <si>
    <t>Martha Stewart Collection Percale Stripe Reversible Full Blue FullQueen</t>
  </si>
  <si>
    <t>100079381FQ</t>
  </si>
  <si>
    <t>FABRIC: COTTON; POLYESTER FILL 285 GRAMS PER SQUARE METER</t>
  </si>
  <si>
    <t>788904001445</t>
  </si>
  <si>
    <t>Blue Ridge 300 Thread Count Down Alternat Riverside King</t>
  </si>
  <si>
    <t>732997906538</t>
  </si>
  <si>
    <t>Hotel Collection Hotel Collection Terra Quilted Grey European Sham</t>
  </si>
  <si>
    <t>100073998ER</t>
  </si>
  <si>
    <t>732999609857</t>
  </si>
  <si>
    <t>Hotel Collection Hotel Collection Tessellate Qu Lightpastel Gr Queen</t>
  </si>
  <si>
    <t>100106970QN</t>
  </si>
  <si>
    <t>816651022021</t>
  </si>
  <si>
    <t>ienjoy Home Elegant Designs Patterned Duve Pale Blue Wheatfield KingCalifornia King</t>
  </si>
  <si>
    <t>DUVWHEAKIENJ</t>
  </si>
  <si>
    <t>636047396853</t>
  </si>
  <si>
    <t>Greenland Home Fashions Greenland Home Fashions Ditsy Throw</t>
  </si>
  <si>
    <t>GL-1809FTHR</t>
  </si>
  <si>
    <t>GREENLAND HOME FASHIONS</t>
  </si>
  <si>
    <t>COTTON, POLYESTER, ULTRA-SOFT MICROFIBER POLYESTER</t>
  </si>
  <si>
    <t>86569227898</t>
  </si>
  <si>
    <t>Martha Stewart Collection Down Alternative Reverse to Pl Doe FullQueen</t>
  </si>
  <si>
    <t>810031411313</t>
  </si>
  <si>
    <t>Happycare Textiles Happycare Textiles Soft Knitte Khaki NO SIZE</t>
  </si>
  <si>
    <t>BTL15032</t>
  </si>
  <si>
    <t>732998775348</t>
  </si>
  <si>
    <t>Hotel Collection LAST ACT Hotel Collection Hon Mink European</t>
  </si>
  <si>
    <t>100079055ER</t>
  </si>
  <si>
    <t>791551863373</t>
  </si>
  <si>
    <t>Berkshire Holiday Printed Reversible Ful Red FullQueen</t>
  </si>
  <si>
    <t>16951-FQ-YY9</t>
  </si>
  <si>
    <t>732997005293</t>
  </si>
  <si>
    <t>Martha Stewart Collection Essentials Solid Microfiber 4- Blush King</t>
  </si>
  <si>
    <t>10014996KG</t>
  </si>
  <si>
    <t>26865854282</t>
  </si>
  <si>
    <t>Elrene Elrene All Seasons Faux Silk 5 Dusty Blue 52x36</t>
  </si>
  <si>
    <t>732998775331</t>
  </si>
  <si>
    <t>Hotel Collection LAST ACT Hotel Collection Hon Mink Standard</t>
  </si>
  <si>
    <t>100079054SD</t>
  </si>
  <si>
    <t>783048113467</t>
  </si>
  <si>
    <t>Pem America Darlene 3 pc twin comforter mi Yellow Twin</t>
  </si>
  <si>
    <t>CS3316TW-1540</t>
  </si>
  <si>
    <t>29927550863</t>
  </si>
  <si>
    <t>Sun Zero Oslo 52 x 63 Theater Grade E Grey 52x63</t>
  </si>
  <si>
    <t>29927559804</t>
  </si>
  <si>
    <t>Sun Zero Sun Zero Duran 50 x 63 Textu Grey 50x63</t>
  </si>
  <si>
    <t>726895578546</t>
  </si>
  <si>
    <t>Martha Stewart Collection Solid Open Stock 400-Thread Co Latte Tan Full Flat</t>
  </si>
  <si>
    <t>10021051FL</t>
  </si>
  <si>
    <t>REGFULFLAT</t>
  </si>
  <si>
    <t>29927517521</t>
  </si>
  <si>
    <t>Sun Zero Sun Zero Preston 40 x 95 Rod Grey 40x95</t>
  </si>
  <si>
    <t>810018751357</t>
  </si>
  <si>
    <t>Nameeks Nameeks Solisia Round Toothbru Silver ONE SIZE</t>
  </si>
  <si>
    <t>GEDY SO98-73</t>
  </si>
  <si>
    <t>NAMEEKS INC</t>
  </si>
  <si>
    <t>POTTERY</t>
  </si>
  <si>
    <t>732996250052</t>
  </si>
  <si>
    <t>Charter Club Superluxe 300-Thread Count Med White King</t>
  </si>
  <si>
    <t>100069269KG</t>
  </si>
  <si>
    <t>96675642126</t>
  </si>
  <si>
    <t>SensorGel Wellness by Supportive Memory White Standard</t>
  </si>
  <si>
    <t>FACE: POLYESTER; INNER YARNS: POLYESTER; BACK: POLYESTER/ METALLIC</t>
  </si>
  <si>
    <t>96675311015</t>
  </si>
  <si>
    <t>SensorGel Wellness Collection by Suppor White Standard</t>
  </si>
  <si>
    <t>COVER: 230 GSM POLYESTER, FILL: MEMORY FOAM CLUSTERS</t>
  </si>
  <si>
    <t>29927480689</t>
  </si>
  <si>
    <t>Sun Zero Sun Zero Grant 54 x 63 Gromm Steel 54x63</t>
  </si>
  <si>
    <t>732996250106</t>
  </si>
  <si>
    <t>Charter Club Superluxe 300-Thread Count Sof White King</t>
  </si>
  <si>
    <t>100069246KG</t>
  </si>
  <si>
    <t>706254463034</t>
  </si>
  <si>
    <t>Hotel Collection Ultimate MicroCotton 30 x 5 Dune Bath Towels</t>
  </si>
  <si>
    <t>HTLMCBDNE</t>
  </si>
  <si>
    <t>706254462884</t>
  </si>
  <si>
    <t>Hotel Collection Ultimate MicroCotton 30 x 5 Vapor Bath Towels</t>
  </si>
  <si>
    <t>HTLMCBVAP</t>
  </si>
  <si>
    <t>193842116494</t>
  </si>
  <si>
    <t>J Queen New York Astoria 95 Window Panel Pair Sand 95-98</t>
  </si>
  <si>
    <t>180012195PR</t>
  </si>
  <si>
    <t>95 DBL</t>
  </si>
  <si>
    <t>734737671584</t>
  </si>
  <si>
    <t>Fairfield Square Collection Lemon 8-Pc. Reversible King Co Blue King</t>
  </si>
  <si>
    <t>Martha Stewart Collection Triple Knit FullQueen Blanket White FullQueen</t>
  </si>
  <si>
    <t>10028641FQ</t>
  </si>
  <si>
    <t>MARTHA STEWART-EDI/BERKSHIRE</t>
  </si>
  <si>
    <t>26865854152</t>
  </si>
  <si>
    <t>Elrene Elrene All Seasons Faux Silk 5 Silver 52x108</t>
  </si>
  <si>
    <t>17789SIL</t>
  </si>
  <si>
    <t>706257404645</t>
  </si>
  <si>
    <t>Hotel Collection Cotton 680 Thread Count Queen Palladium Queen</t>
  </si>
  <si>
    <t>68P19QNFL</t>
  </si>
  <si>
    <t>734737422957</t>
  </si>
  <si>
    <t>Fairfield Square Collection Austin 8-Pc. Reversible Comfor Red Queen</t>
  </si>
  <si>
    <t>15977229V</t>
  </si>
  <si>
    <t>734737581555</t>
  </si>
  <si>
    <t>Fairfield Square Collection Francie 8-Pc. Reversible Queen Burnt Red Queen</t>
  </si>
  <si>
    <t>675716839789</t>
  </si>
  <si>
    <t>Madison Park Emilia 50 x 120 Lined Faux-S Purple 50x120</t>
  </si>
  <si>
    <t>MP40-3555</t>
  </si>
  <si>
    <t>734737620285</t>
  </si>
  <si>
    <t>Sunham Safari Reversible 12-Pc. Comfo Multi Twin</t>
  </si>
  <si>
    <t>734737485631</t>
  </si>
  <si>
    <t>Fairfield Square Collection Austin 8-Pc. Reversible Comfor Blue Twin</t>
  </si>
  <si>
    <t>1575C029V</t>
  </si>
  <si>
    <t>732997394267</t>
  </si>
  <si>
    <t>Hotel Collection Primaloft 450-Thread Count Sof White King</t>
  </si>
  <si>
    <t>100083176KG</t>
  </si>
  <si>
    <t>732996412429</t>
  </si>
  <si>
    <t>Martha Stewart Collection Whim by Martha Stewart Collect Flamingo Full</t>
  </si>
  <si>
    <t>100062308FL</t>
  </si>
  <si>
    <t>788904002374</t>
  </si>
  <si>
    <t>Kathy Ireland Kathy Ireland Home Essentials White King</t>
  </si>
  <si>
    <t>KI709615</t>
  </si>
  <si>
    <t>86569363442</t>
  </si>
  <si>
    <t>Martha Stewart Collection Martha Stewart Essentials Reve White King</t>
  </si>
  <si>
    <t>10012459KG</t>
  </si>
  <si>
    <t>733001040712</t>
  </si>
  <si>
    <t>Martha Stewart Collection 100 Cotton Flannel 3-Pc. Twin Cloud Twin</t>
  </si>
  <si>
    <t>100020869TW</t>
  </si>
  <si>
    <t>732996412467</t>
  </si>
  <si>
    <t>Martha Stewart Collection Whim By Martha Stewart Collect Flamingo Twin</t>
  </si>
  <si>
    <t>100062308TW</t>
  </si>
  <si>
    <t>732998285526</t>
  </si>
  <si>
    <t>Charter Club Damask Pima Cotton 550-Thread Neo Natural Queen</t>
  </si>
  <si>
    <t>DNSLDQNBNAT</t>
  </si>
  <si>
    <t>732999603558</t>
  </si>
  <si>
    <t>Martha Stewart Collection Reversible Plaid FullQueen Co Grey Plaid FullQueen</t>
  </si>
  <si>
    <t>100109403FQ</t>
  </si>
  <si>
    <t>788904130893</t>
  </si>
  <si>
    <t>Royal Luxe Royal Luxe Microfiber Color Do Platinum FullQueen</t>
  </si>
  <si>
    <t>706258615873</t>
  </si>
  <si>
    <t>Martha Stewart Collection Essentials Quilted Waterproof White King</t>
  </si>
  <si>
    <t>100058089KG</t>
  </si>
  <si>
    <t>732996342337</t>
  </si>
  <si>
    <t>Martha Stewart Collection Velvet Euro Decorative Pillow Navy European</t>
  </si>
  <si>
    <t>86569915351</t>
  </si>
  <si>
    <t>Madison Park Madison Park Spa Waffle 54 x Taupe No Size</t>
  </si>
  <si>
    <t>MP70-4977</t>
  </si>
  <si>
    <t>190GSM POLYESTER WITH 3M WATER REPELLENT SCOTCHAGRD TREATMENT</t>
  </si>
  <si>
    <t>675716665807</t>
  </si>
  <si>
    <t>Madison Park Ruched 20 Square Faux-Fur Dec Ivory 20x20</t>
  </si>
  <si>
    <t>MP30-1863</t>
  </si>
  <si>
    <t>FAUX-FUR FACE: POLYESTER 220 GRAMS PER SQUARE METER; FAUX-FUR REVERSE: POLYESTER 180 GRAMS PER SQUARE METER; POLYESTER FILL</t>
  </si>
  <si>
    <t>788904130886</t>
  </si>
  <si>
    <t>Royal Luxe Royal Luxe Microfiber Color Do Platinum Twin</t>
  </si>
  <si>
    <t>29927543377</t>
  </si>
  <si>
    <t>Sun Zero Barnett 40 x 63 Trellis Prin Navy 40x63</t>
  </si>
  <si>
    <t>733001363149</t>
  </si>
  <si>
    <t>Martha Stewart Collection LAST ACT Medallion Tufted Vel Ivory Standard Sham</t>
  </si>
  <si>
    <t>96675394018</t>
  </si>
  <si>
    <t>SensorPEDIC 2 Pack Fresh Clean Standard White Standard</t>
  </si>
  <si>
    <t>814760024707</t>
  </si>
  <si>
    <t>ienjoy Home Home Collection Premium Ultra Burgundy King</t>
  </si>
  <si>
    <t>PCASESLDKIENJ</t>
  </si>
  <si>
    <t>814760024752</t>
  </si>
  <si>
    <t>ienjoy Home Home Collection Premium Ultra Gray King</t>
  </si>
  <si>
    <t>842933137770</t>
  </si>
  <si>
    <t>ienjoy Home Home Collection Premium Ultra Light Gray King</t>
  </si>
  <si>
    <t>842933137763</t>
  </si>
  <si>
    <t>ienjoy Home Home Collection Premium Ultra Light Gray Standard</t>
  </si>
  <si>
    <t>PCASESLDSTDIENJ</t>
  </si>
  <si>
    <t>814760024820</t>
  </si>
  <si>
    <t>ienjoy Home Home Collection Premium Ultra Burgundy Standard</t>
  </si>
  <si>
    <t>706254616546</t>
  </si>
  <si>
    <t>Hotel Collection Borderline 30 x 56 Bath Towe Celadon Bath Towels</t>
  </si>
  <si>
    <t>HTLBRDBCL</t>
  </si>
  <si>
    <t>21864390502</t>
  </si>
  <si>
    <t>Avanti Beaufort Ivory Bath Towel Ivory ONE SIZE</t>
  </si>
  <si>
    <t>025261IVR</t>
  </si>
  <si>
    <t>86569375889</t>
  </si>
  <si>
    <t>CosmoLiving CosmoLiving Terrazzo Printed F Blush, Gray FullQueen</t>
  </si>
  <si>
    <t>CL12-0007</t>
  </si>
  <si>
    <t>COSMOLIVING/E &amp; E CO LTD/JLA HOME</t>
  </si>
  <si>
    <t>190945121523</t>
  </si>
  <si>
    <t>Levtex Levtex Washed Linen Square Pil Blush 20x20</t>
  </si>
  <si>
    <t>L608P2-A</t>
  </si>
  <si>
    <t>807882543829</t>
  </si>
  <si>
    <t>THRO Rae Home Sweet Home Printed Pi Black 20x20</t>
  </si>
  <si>
    <t>TH022965002E</t>
  </si>
  <si>
    <t>732999837564</t>
  </si>
  <si>
    <t>Martha Stewart Collection Faux Fur 20 x 20 Decorative Ivory 20x20</t>
  </si>
  <si>
    <t>734737636101</t>
  </si>
  <si>
    <t>Sunham Luna FullQueen Comforter Set Multi FullQueen</t>
  </si>
  <si>
    <t>732999603596</t>
  </si>
  <si>
    <t>Martha Stewart Collection Reversible Plaid Twin Comforte Grey Plaid TwinTwin XL</t>
  </si>
  <si>
    <t>735837574218</t>
  </si>
  <si>
    <t>Hotel Collection European White Goose Down Heav White King</t>
  </si>
  <si>
    <t>HWGDKH09</t>
  </si>
  <si>
    <t>740504612360</t>
  </si>
  <si>
    <t>Belle Epoque Belle Epoque Vintage Rose Sh Multi King</t>
  </si>
  <si>
    <t>BELLE EPOQUE/CGG MARKETING MANAGE</t>
  </si>
  <si>
    <t>679610822229</t>
  </si>
  <si>
    <t>Hallmart Collectibles Bon-Nuit 14 PC King Comforter Navy King</t>
  </si>
  <si>
    <t>732997572290</t>
  </si>
  <si>
    <t>Hotel Collection Hotel Collection Meadow FullQ Lightpastel Gr FullQueen</t>
  </si>
  <si>
    <t>100078958FQ</t>
  </si>
  <si>
    <t>PIMA COTTON/POLYESTER</t>
  </si>
  <si>
    <t>740275050248</t>
  </si>
  <si>
    <t>Sharper Image Calming Comfort Weighted Blank Gray</t>
  </si>
  <si>
    <t>CA031102</t>
  </si>
  <si>
    <t>ALLSTAR PRODUCTS GROUP</t>
  </si>
  <si>
    <t>SHU VELVETEEN (POLYESTER) AND HDPE BEADS</t>
  </si>
  <si>
    <t>706258090571</t>
  </si>
  <si>
    <t>Charter Club Damask Stripe Supima Cotton 55 White King</t>
  </si>
  <si>
    <t>DLLSTKDSWHT</t>
  </si>
  <si>
    <t>883893578166</t>
  </si>
  <si>
    <t>Jonathan Adler Vally King Duvet Cover Set Grey King</t>
  </si>
  <si>
    <t>USHSFN1078658</t>
  </si>
  <si>
    <t>JONATHAN ADLER/REVMAN INTERNATIONAL</t>
  </si>
  <si>
    <t>732995531268</t>
  </si>
  <si>
    <t>Martha Stewart Collection Signature Scallop 4-Pc. King S Coral King</t>
  </si>
  <si>
    <t>100048767KG</t>
  </si>
  <si>
    <t>766195472717</t>
  </si>
  <si>
    <t>Tommy Hilfiger Dream 50 x 60 Throw Cream Throw</t>
  </si>
  <si>
    <t>111809TH001</t>
  </si>
  <si>
    <t>733001335047</t>
  </si>
  <si>
    <t>Charter Club Damask Designs 550-Thread Coun Cornflower King</t>
  </si>
  <si>
    <t>100108502KG</t>
  </si>
  <si>
    <t>706258090052</t>
  </si>
  <si>
    <t>Charter Club Damask Supima Cotton 550-Threa Parchment Beige Queen</t>
  </si>
  <si>
    <t>DLLSLQDSPAR</t>
  </si>
  <si>
    <t>ALL SUPIMA®COTTON</t>
  </si>
  <si>
    <t>733001495345</t>
  </si>
  <si>
    <t>Martha Stewart Collection Reversible 3-Pc. Watercolor Da Blue FullQueen</t>
  </si>
  <si>
    <t>100099636FQ</t>
  </si>
  <si>
    <t>86569231963</t>
  </si>
  <si>
    <t>Mi Zone Quinny Twin 3 Piece Glow In Th Aqua Twin</t>
  </si>
  <si>
    <t>MZK10-201</t>
  </si>
  <si>
    <t>COMFORTER/SHAM: POLYESTER PLUSH FABRIC WITH LUMINESCENT KNOCKED ON FACE, POLYESTER BRUSHED FABRIC SOLID REVERSE, COMFORTER WITH POLYESTER FILLING; DECORATIVE PILLOW: POLYESTER MICROFIBER COVER WITH POLYESTER FILLING</t>
  </si>
  <si>
    <t>732996347493</t>
  </si>
  <si>
    <t>Martha Stewart Collection Drip Drop 180-Thread Count 2-P White TwinTwin XL</t>
  </si>
  <si>
    <t>100069334TW</t>
  </si>
  <si>
    <t>608356134792</t>
  </si>
  <si>
    <t>Martha Stewart Collection Printed Cotton Flannel 4-Pc. Q Forest Friends Queen</t>
  </si>
  <si>
    <t>100017511QN</t>
  </si>
  <si>
    <t>96675608979</t>
  </si>
  <si>
    <t>EcoPEDIC EcoPEDIC 2.5 MemoryLOFT Twin White Twin</t>
  </si>
  <si>
    <t>COVER: 233 THREAD COUNT 100% COTTON; FILL: POLYESTER/MEMORY FOAM CLUSTERS</t>
  </si>
  <si>
    <t>733001041399</t>
  </si>
  <si>
    <t>Martha Stewart Collection Printed Cotton Flannel 4-Pc. Q Simple Stripe Queen</t>
  </si>
  <si>
    <t>100094886QN</t>
  </si>
  <si>
    <t>815698022162</t>
  </si>
  <si>
    <t>Laural Home Laural Home Fashion Sketchbook Black ONE SIZE</t>
  </si>
  <si>
    <t>FS2026CFPS</t>
  </si>
  <si>
    <t>LAURAL HOME LLC</t>
  </si>
  <si>
    <t>FABRIC: 100% COTTON FILL: 100% POLYESTER</t>
  </si>
  <si>
    <t>86569005601</t>
  </si>
  <si>
    <t>Intelligent Design Raina 5-Pc. FullQueen Duvet C AquaSilver FullQueen</t>
  </si>
  <si>
    <t>ID12-1388</t>
  </si>
  <si>
    <t>FABRIC: POLYESTER; POLYESTER FILL 85 GSM</t>
  </si>
  <si>
    <t>733001041153</t>
  </si>
  <si>
    <t>Martha Stewart Collection Printed Cotton Flannel 4-Pc. Q Multi Stripe Queen</t>
  </si>
  <si>
    <t>100094882QN</t>
  </si>
  <si>
    <t>29927558555</t>
  </si>
  <si>
    <t>Sun Zero Verve 52 x 84 Mosaic Print B Sable 52x84</t>
  </si>
  <si>
    <t>ESPRESSO</t>
  </si>
  <si>
    <t>783048122131</t>
  </si>
  <si>
    <t>Charisma Charisma Essex European Sham Purple European</t>
  </si>
  <si>
    <t>CF3502ES-1400</t>
  </si>
  <si>
    <t>CHARISMA/PEM AMERICA INC</t>
  </si>
  <si>
    <t>733001040774</t>
  </si>
  <si>
    <t>Martha Stewart Collection Printed Cotton Flannel 4-Pc. F Forest Friends Full</t>
  </si>
  <si>
    <t>100017511FL</t>
  </si>
  <si>
    <t>693614011564</t>
  </si>
  <si>
    <t>Ella Jayne Waterproof and Hypoallergenic White Queen</t>
  </si>
  <si>
    <t>EJHMPWP3</t>
  </si>
  <si>
    <t>842933142071</t>
  </si>
  <si>
    <t>ienjoy Home Restyle your Room Reversible C Navy Twin</t>
  </si>
  <si>
    <t>REVCOMFTIENJ</t>
  </si>
  <si>
    <t>100% MICROFIBER</t>
  </si>
  <si>
    <t>734737637573</t>
  </si>
  <si>
    <t>Fairfield Square Collection Aspen T1000 CVC Queen sheet se Blush Queen</t>
  </si>
  <si>
    <t>96675642263</t>
  </si>
  <si>
    <t>SensorPEDIC SensorPEDIC Temperature Regula White Standard</t>
  </si>
  <si>
    <t>732999521616</t>
  </si>
  <si>
    <t>Hotel Collection Hotel Collection Cambria Quilt White King Sham</t>
  </si>
  <si>
    <t>100105352KG</t>
  </si>
  <si>
    <t>86569004956</t>
  </si>
  <si>
    <t>510 Design 510 Design Otto FullQueen 3 P Grey FullQueen</t>
  </si>
  <si>
    <t>5DS13-0024</t>
  </si>
  <si>
    <t>COVERLET/SHAM FABRIC - 75GSM POLYESTER MICROFIBER, COVERLET FILL - 100% POLYESTER</t>
  </si>
  <si>
    <t>842901013648</t>
  </si>
  <si>
    <t>IZUTECH Two-Tone 1 Flat Iron Sky Blue</t>
  </si>
  <si>
    <t>IZAPP9983</t>
  </si>
  <si>
    <t>BEAUTY UNLIMITED/BEAUTY REACTION</t>
  </si>
  <si>
    <t>29927566048</t>
  </si>
  <si>
    <t>Sun Zero Sun Zero Noir 52 x 84 Textur Charcoal 52x84</t>
  </si>
  <si>
    <t>52501438516</t>
  </si>
  <si>
    <t>Lintex Marquis 100 Cotton King Blank Rose King</t>
  </si>
  <si>
    <t>LINTEX LINENS/COBRA TRADING CORP</t>
  </si>
  <si>
    <t>733001040736</t>
  </si>
  <si>
    <t>Martha Stewart Collection 100 Cotton Flannel 3-Pc. Twin Eclipse Twin</t>
  </si>
  <si>
    <t>86569295293</t>
  </si>
  <si>
    <t>Madison Park Madison Park Meredith 50 x 84 BlushPurple 50x84</t>
  </si>
  <si>
    <t>MP40-6739</t>
  </si>
  <si>
    <t>788904130664</t>
  </si>
  <si>
    <t>Royal Luxe Royal Luxe Microfiber Color Do White FullQueen</t>
  </si>
  <si>
    <t>29927553956</t>
  </si>
  <si>
    <t>Sun Zero Oslo 52 x 84 Theater Grade E Teal 52x84</t>
  </si>
  <si>
    <t>32281181628</t>
  </si>
  <si>
    <t>Disney 2-Pc. Travel Blanket Santa H Marvel Spiderman Standard</t>
  </si>
  <si>
    <t>JF18162</t>
  </si>
  <si>
    <t>29927532357</t>
  </si>
  <si>
    <t>Sun Zero Sun Zero Grant 54 x 108 Rod Sage 54x108</t>
  </si>
  <si>
    <t>735732463082</t>
  </si>
  <si>
    <t>Seventh Studio Coco Leapord Rug Gray No Size</t>
  </si>
  <si>
    <t>C2O-ARU-2745-MA-GREY</t>
  </si>
  <si>
    <t>726895453201</t>
  </si>
  <si>
    <t>Martha Stewart Collection Essentials Solid Microfiber 4- Green Mist Green Full</t>
  </si>
  <si>
    <t>739550349795</t>
  </si>
  <si>
    <t>Elrene SunVeil Vanderbilt Extra Wide Natural 52x84</t>
  </si>
  <si>
    <t>96165NAT</t>
  </si>
  <si>
    <t>29927477559</t>
  </si>
  <si>
    <t>Sun Zero Sun Zero Grant 54 x 95 Rod P Mineral 54x95</t>
  </si>
  <si>
    <t>29927442342</t>
  </si>
  <si>
    <t>No. 918 No. 918 51 x 84 Crushed Shee White 51x84</t>
  </si>
  <si>
    <t>842941104696</t>
  </si>
  <si>
    <t>Tribeca Living Colmar Printed 300 Thread Coun Sky Blue</t>
  </si>
  <si>
    <t>COLMPCSTSK</t>
  </si>
  <si>
    <t>100% COTTON SATEEN</t>
  </si>
  <si>
    <t>29927534566</t>
  </si>
  <si>
    <t>Sun Zero Sun Zero Preston 40 x 84 Gro Grey 40x84</t>
  </si>
  <si>
    <t>735732471810</t>
  </si>
  <si>
    <t>VCNY Home Metallic Damask Plush Throw Whitegold 50x60</t>
  </si>
  <si>
    <t>MET-THR-5060-MC-WHTG</t>
  </si>
  <si>
    <t>32281685546</t>
  </si>
  <si>
    <t>Disney Frozen Elsa Hooded Towel Disney Frozen Elsa</t>
  </si>
  <si>
    <t>JF68554</t>
  </si>
  <si>
    <t>726895387193</t>
  </si>
  <si>
    <t>Charter Club Damask Stripe Supima Cotton 55 Pale Lilac Standard Pillowcases</t>
  </si>
  <si>
    <t>DLLSTSPCLIL</t>
  </si>
  <si>
    <t>706258090229</t>
  </si>
  <si>
    <t>Charter Club Damask Supima Cotton 550-Threa White Standard Pillowcases</t>
  </si>
  <si>
    <t>DLLSLSPCWHT</t>
  </si>
  <si>
    <t>734737536029</t>
  </si>
  <si>
    <t>Sunham Comfort Soft 17 x 24 Memory Slate 21 x 24</t>
  </si>
  <si>
    <t>R4431AB15CTR</t>
  </si>
  <si>
    <t>733001818427</t>
  </si>
  <si>
    <t>Martha Stewart Collection Love 2-Pc. 11 x 18 Fingertip White Combo Fingertip Towels</t>
  </si>
  <si>
    <t>746885344142</t>
  </si>
  <si>
    <t>Miller Curtains Window Treatments, Preston Rod Brown 51x63</t>
  </si>
  <si>
    <t>WC70344420063</t>
  </si>
  <si>
    <t>732996412443</t>
  </si>
  <si>
    <t>Martha Stewart Collection Whim By Martha Stewart Collect Flamingo Standard Pillowcases</t>
  </si>
  <si>
    <t>100062308PC</t>
  </si>
  <si>
    <t>734737534841</t>
  </si>
  <si>
    <t>Sunham Soft Spun Cotton Wash Towel Grey Washcloths</t>
  </si>
  <si>
    <t>T18437N111212</t>
  </si>
  <si>
    <t>840970172662</t>
  </si>
  <si>
    <t>SW SOLID SS 6PC T WH</t>
  </si>
  <si>
    <t>SWSS6-001-T-WH</t>
  </si>
  <si>
    <t>REGTWINSHT</t>
  </si>
  <si>
    <t>735837574157</t>
  </si>
  <si>
    <t>Hotel Collection European White Goose Down Ligh White King</t>
  </si>
  <si>
    <t>HWGDLK03</t>
  </si>
  <si>
    <t>96675561045</t>
  </si>
  <si>
    <t>Charisma Charisma Luxury Plush 3.5 Mem White King</t>
  </si>
  <si>
    <t>732997906606</t>
  </si>
  <si>
    <t>100075869FQ</t>
  </si>
  <si>
    <t>FRONT: COTTON/POLYESTER/VISCOSE BLEND, BACK: 100% COTTON, 100% POLYESTER FILL</t>
  </si>
  <si>
    <t>675716963903</t>
  </si>
  <si>
    <t>Madison Park Essentials Essentials Jelena California K Natural California King</t>
  </si>
  <si>
    <t>MPE10-525</t>
  </si>
  <si>
    <t>COMFORTER/SHAM/BEDSKIRT DROP/PLATFORM/PILLOW/WINDOW PANEL/TIEBACKS/VALANCE/EUROPEAN SHAM: POLYESTER; SHEETS: POLYESTER 85 GRAMS PER SQUARE METER; COMFORTER/SHAM FILL: POLYESTER 270 GRAMS PER SQUARE METER; PILLOW FILL: POLYESTER</t>
  </si>
  <si>
    <t>675716639938</t>
  </si>
  <si>
    <t>Beautyrest Electric Plush Queen Blanket Grey Queen</t>
  </si>
  <si>
    <t>BR54-0515</t>
  </si>
  <si>
    <t>190945077271</t>
  </si>
  <si>
    <t>Levtex Rome Damask Reversible FullQu Gray FullQueen</t>
  </si>
  <si>
    <t>L11380LFQS</t>
  </si>
  <si>
    <t>883893702011</t>
  </si>
  <si>
    <t>Nautica Nautica Galewood Quilt Set, Ki Multi King</t>
  </si>
  <si>
    <t>USHSA91175342</t>
  </si>
  <si>
    <t>32281247386</t>
  </si>
  <si>
    <t>Jojo Siwa JoJo Rainbow Sparkle 8pc BIAB Multi Color</t>
  </si>
  <si>
    <t>JF24738MCD</t>
  </si>
  <si>
    <t>706258596493</t>
  </si>
  <si>
    <t>Charter Club Ultra Fine Cotton 800-Thread C White King</t>
  </si>
  <si>
    <t>T800KGSWHT</t>
  </si>
  <si>
    <t>689192618622</t>
  </si>
  <si>
    <t>Ella Jayne 15lb Reversible Anti-Anxiety W GreyBlack</t>
  </si>
  <si>
    <t>EJHCFWT-GB-S-15</t>
  </si>
  <si>
    <t>732996149042</t>
  </si>
  <si>
    <t>Martha Stewart Collection Chenille Dot 3-Pc. King Comfor White King</t>
  </si>
  <si>
    <t>100039057KG</t>
  </si>
  <si>
    <t>883893585546</t>
  </si>
  <si>
    <t>Laura Ashley Chloe Cottage Blue Duvet Set, Open Blue FullQueen</t>
  </si>
  <si>
    <t>USHSFN1088424</t>
  </si>
  <si>
    <t>675716822217</t>
  </si>
  <si>
    <t>INKIVY Alpine Cotton Reversible Full Aqua FullQueen</t>
  </si>
  <si>
    <t>II12-783</t>
  </si>
  <si>
    <t>732998489566</t>
  </si>
  <si>
    <t>Lucky Brand Eden Cotton Reversible 3-Pc. K Gold King</t>
  </si>
  <si>
    <t>100078202KG</t>
  </si>
  <si>
    <t>732996744247</t>
  </si>
  <si>
    <t>Lucky Brand Lucky Brand Tufted Floral Full Pink Queen</t>
  </si>
  <si>
    <t>100062039FQ</t>
  </si>
  <si>
    <t>848742068748</t>
  </si>
  <si>
    <t>Lush Decor Ombre Fiesta 52 x 84 Curtain Yellow 52x84</t>
  </si>
  <si>
    <t>16T002417</t>
  </si>
  <si>
    <t>6941327103248</t>
  </si>
  <si>
    <t>Glitzhome Glitzhome Cotton Woven Throw White 60x50</t>
  </si>
  <si>
    <t>732998869368</t>
  </si>
  <si>
    <t>Martha Stewart Collection Country Flora Patchwork Revers Blue FullQueen</t>
  </si>
  <si>
    <t>100079754FQ</t>
  </si>
  <si>
    <t>706258089018</t>
  </si>
  <si>
    <t>Charter Club Damask Stripe Supima Cotton 55 Granite Dark Grey Full</t>
  </si>
  <si>
    <t>DLDSTFLSGRA</t>
  </si>
  <si>
    <t>655385231367</t>
  </si>
  <si>
    <t>Elite Home Imperial Cotton Extra Deep Poc Lt. Grey Queen</t>
  </si>
  <si>
    <t>400SSQU907EDPSS</t>
  </si>
  <si>
    <t>732995525939</t>
  </si>
  <si>
    <t>Martha Stewart Collection Cotton Percale 400-Thread Coun Grape Queen</t>
  </si>
  <si>
    <t>100038240QN</t>
  </si>
  <si>
    <t>732995554892</t>
  </si>
  <si>
    <t>Charter Club Sleep Cool Egyptian Hygro Cott Penguin Grey Full</t>
  </si>
  <si>
    <t>100048387FL</t>
  </si>
  <si>
    <t>783048105776</t>
  </si>
  <si>
    <t>Vince Camuto Home 1000TC CVC 6 Piece Queen Sheet Light Grey Queen</t>
  </si>
  <si>
    <t>SS3193HRQN-4701</t>
  </si>
  <si>
    <t>VINCE CAMUTO HOME/PEM-AMERICA INC</t>
  </si>
  <si>
    <t>CVC</t>
  </si>
  <si>
    <t>655385105453</t>
  </si>
  <si>
    <t>Elite Home Prewashed Cotton Percale Sheet Lt. Orchid Queen</t>
  </si>
  <si>
    <t>200SSQU555PWCPS</t>
  </si>
  <si>
    <t>655385105620</t>
  </si>
  <si>
    <t>Elite Home Prewashed Cotton Percale Duvet Starlight Blue FullQueen</t>
  </si>
  <si>
    <t>200DSFQ448PWCPS</t>
  </si>
  <si>
    <t>877512006635</t>
  </si>
  <si>
    <t>Cathay Home Inc. All Season Extra Soft Down Alt White King</t>
  </si>
  <si>
    <t>ADC-WHI-K</t>
  </si>
  <si>
    <t>29927530339</t>
  </si>
  <si>
    <t>Sun Zero Shaw Theater Grade 80 x 95 E Camel 40x952</t>
  </si>
  <si>
    <t>ALL POLYESTER.</t>
  </si>
  <si>
    <t>783048140135</t>
  </si>
  <si>
    <t>Pem America Katherine 8-Pc. Reversible Kin Blue King</t>
  </si>
  <si>
    <t>BIB3907KG-3240</t>
  </si>
  <si>
    <t>846339080968</t>
  </si>
  <si>
    <t>J Queen New York Giovani White 18 Embroidered White</t>
  </si>
  <si>
    <t>224602018SQE</t>
  </si>
  <si>
    <t>734737592599</t>
  </si>
  <si>
    <t>Fairfield Square Collection Chelsea 8-Pc. Queen Comforter Multi Twin XL</t>
  </si>
  <si>
    <t>20553022A</t>
  </si>
  <si>
    <t>734737422988</t>
  </si>
  <si>
    <t>Fairfield Square Collection Austin 8-Pc. Reversible Comfor Red Twin XL</t>
  </si>
  <si>
    <t>15977929V</t>
  </si>
  <si>
    <t>733001730217</t>
  </si>
  <si>
    <t>Hotel Collection Moonstone Quilted Euro Sham, C Gold</t>
  </si>
  <si>
    <t>100107710ER</t>
  </si>
  <si>
    <t>26865901511</t>
  </si>
  <si>
    <t>Elrene Elrene Mia Jacquard 52 x 95 Blue 52x95</t>
  </si>
  <si>
    <t>19985BLU</t>
  </si>
  <si>
    <t>706255403664</t>
  </si>
  <si>
    <t>Martha Stewart Collection Martha Stewart Collection Piqu Vanilla Queen</t>
  </si>
  <si>
    <t>SPQQBSV822</t>
  </si>
  <si>
    <t>MARTHA STEWART-EDI/PAC-FUNG FEATHER</t>
  </si>
  <si>
    <t>733001428619</t>
  </si>
  <si>
    <t>Martha Stewart Collection Essentials 200-Thread Count Ho Soldier Full</t>
  </si>
  <si>
    <t>100108334FL</t>
  </si>
  <si>
    <t>91116694870</t>
  </si>
  <si>
    <t>Jessica Sanders Solid Microfiber King Sheet Se White King</t>
  </si>
  <si>
    <t>SM3SSK</t>
  </si>
  <si>
    <t>29927577723</t>
  </si>
  <si>
    <t>Sun Zero Cyrus 40 x 63 Thermal Blacko Soft Gold 40x63</t>
  </si>
  <si>
    <t>734737474499</t>
  </si>
  <si>
    <t>Lacoste Croc Legend 19 x 30 Memory F Riviera Blue 19 x 30</t>
  </si>
  <si>
    <t>R16752B4531930</t>
  </si>
  <si>
    <t>POLYESTER/POLYURETHANE FOAM; BACKING: STYRENE BUTADIENE RUBBER</t>
  </si>
  <si>
    <t>42694347634</t>
  </si>
  <si>
    <t>Charter Club Classic Bath Rug Cc Classic 21X34 21 x 34</t>
  </si>
  <si>
    <t>CSOLD2X3WT</t>
  </si>
  <si>
    <t>706258615583</t>
  </si>
  <si>
    <t>Martha Stewart Collection Essentials Classic Quilted Twi White Twin</t>
  </si>
  <si>
    <t>100058088TW</t>
  </si>
  <si>
    <t>849785015782</t>
  </si>
  <si>
    <t>Castle Hill London Linear 21x34 Cotton Bath Rug Lt Blue No Size</t>
  </si>
  <si>
    <t>C2134-LIN-LBL</t>
  </si>
  <si>
    <t>21X34"</t>
  </si>
  <si>
    <t>H.N. INTERNATIONAL GROUP INC</t>
  </si>
  <si>
    <t>738980842210</t>
  </si>
  <si>
    <t>Popular Bath shell rummmel sand stone tumbl Open Miscellaneous NO SIZE</t>
  </si>
  <si>
    <t>POPULAR BATH PRODUCTS</t>
  </si>
  <si>
    <t>733001872047</t>
  </si>
  <si>
    <t>Charter Club Wellness Cotton 27 x 50 Bath Clear Blue Bath Towels</t>
  </si>
  <si>
    <t>885308410030</t>
  </si>
  <si>
    <t>Eclipse Kendall Blackout Window Valanc Denim 42x18</t>
  </si>
  <si>
    <t>15453042X018DEN</t>
  </si>
  <si>
    <t>636193713887</t>
  </si>
  <si>
    <t>Martha Stewart Collection Cotton Dot Spa Fashion Bath To Frozen Pond Bath Towels</t>
  </si>
  <si>
    <t>MSNDTB</t>
  </si>
  <si>
    <t>706254463348</t>
  </si>
  <si>
    <t>Hotel Collection Ultimate MicroCotton 16 x 30 Glacier Hand Towels</t>
  </si>
  <si>
    <t>HTLMCHGLC</t>
  </si>
  <si>
    <t>46249646807</t>
  </si>
  <si>
    <t>Tommy Hilfiger Modern American 16 x 26 Cott Blue Hand Towels</t>
  </si>
  <si>
    <t>27T0465-HD-S3-D1</t>
  </si>
  <si>
    <t>840970172891</t>
  </si>
  <si>
    <t>SW SOLID SS 6PC K BU</t>
  </si>
  <si>
    <t>SWSS6-001-K-BU</t>
  </si>
  <si>
    <t>800298618402</t>
  </si>
  <si>
    <t>Donna Karan Moonscape Reversible Textured Charcoal FullQueen</t>
  </si>
  <si>
    <t>MOD118173DVG</t>
  </si>
  <si>
    <t>709271481876</t>
  </si>
  <si>
    <t>Calvin Klein Moonstone FullQueen Comforter Pebble FullQueen</t>
  </si>
  <si>
    <t>1710197-FQ-G1-D2</t>
  </si>
  <si>
    <t>42075511272</t>
  </si>
  <si>
    <t>Peri Home Chenille Lattice King Duvet Co White King</t>
  </si>
  <si>
    <t>2-2113DKWT</t>
  </si>
  <si>
    <t>842607136511</t>
  </si>
  <si>
    <t>eLuxury eLuxury Extra Plush and Extra White Twin XL</t>
  </si>
  <si>
    <t>EXTRATHICKSTDPAD-TL</t>
  </si>
  <si>
    <t>LTMATTRESS</t>
  </si>
  <si>
    <t>ELUXURY LLC</t>
  </si>
  <si>
    <t>46249660155</t>
  </si>
  <si>
    <t>15T0868-FQ-G1-D2</t>
  </si>
  <si>
    <t>883893546097</t>
  </si>
  <si>
    <t>Trina Turk Trina Turk Samba De Roda Blue Navy King</t>
  </si>
  <si>
    <t>USHSFN1051340</t>
  </si>
  <si>
    <t>TRINA TURK/REVMAN INTERNATIONAL</t>
  </si>
  <si>
    <t>850013529049</t>
  </si>
  <si>
    <t>JANEEN HOME Janeen Home Kavita Embroidered White FullQueen</t>
  </si>
  <si>
    <t>RJSQ05</t>
  </si>
  <si>
    <t>JANEEN HOME</t>
  </si>
  <si>
    <t>COTTON/POLYESTER, POLY FILL</t>
  </si>
  <si>
    <t>814168024231</t>
  </si>
  <si>
    <t>Rio Home Fashions Rio Home Fashions MGM Grand Ov White Queen</t>
  </si>
  <si>
    <t>MP-012-6Q</t>
  </si>
  <si>
    <t>FRONT: 180 THREAD COUNT POLYESTER, BACK: NON-WOVEN 80GSM</t>
  </si>
  <si>
    <t>732999186358</t>
  </si>
  <si>
    <t>Charter Club Damask Designs Woven Tile Cott Grey King</t>
  </si>
  <si>
    <t>100082940KG</t>
  </si>
  <si>
    <t>788904100049</t>
  </si>
  <si>
    <t>Elle Decor ELLE Home White Goose Feather White FullQueen</t>
  </si>
  <si>
    <t>EL007452</t>
  </si>
  <si>
    <t>733001891741</t>
  </si>
  <si>
    <t>Martha Stewart Collection Batik Embroidery FullQueen Qu Beigekhaki FullQueen</t>
  </si>
  <si>
    <t>100102820FQ</t>
  </si>
  <si>
    <t>81806611560</t>
  </si>
  <si>
    <t>Serta Serta Simply Clean Antimicrobi Gray Full</t>
  </si>
  <si>
    <t>OZT018AEHSLV</t>
  </si>
  <si>
    <t>KEECO LLC</t>
  </si>
  <si>
    <t>732998859307</t>
  </si>
  <si>
    <t>Martha Stewart Collection Embroidered Silky Satin Bedspr ivory Full</t>
  </si>
  <si>
    <t>100090939QN</t>
  </si>
  <si>
    <t>811098030769</t>
  </si>
  <si>
    <t>Puredown Puredown Pillow King Set of 2 White King</t>
  </si>
  <si>
    <t>PD-DP15002-K</t>
  </si>
  <si>
    <t>SHELL - 100 % COTTON, STUFFING - GOOSE FEATHER, GOOSE DOWN</t>
  </si>
  <si>
    <t>733001039853</t>
  </si>
  <si>
    <t>Martha Stewart Collection Luxury 100 Cotton Flannel 4-P Blue Bell Full</t>
  </si>
  <si>
    <t>100020870FL</t>
  </si>
  <si>
    <t>732997493953</t>
  </si>
  <si>
    <t>Charter Club Damask Cotton 550-Thread Count White FullQueen</t>
  </si>
  <si>
    <t>100068875FQ</t>
  </si>
  <si>
    <t>732998375883</t>
  </si>
  <si>
    <t>Charter Club Damask Stripe Pima Cotton 550- Neo Natural King</t>
  </si>
  <si>
    <t>DLLSTKGCNAT</t>
  </si>
  <si>
    <t>750105040288</t>
  </si>
  <si>
    <t>MY FEATHERDOWN KG BASIC</t>
  </si>
  <si>
    <t>BLOP0430WK</t>
  </si>
  <si>
    <t>COVER: 100% COTTON; FILL: EUROPEAN FEATHER/DOWN</t>
  </si>
  <si>
    <t>815584028537</t>
  </si>
  <si>
    <t>NEW ALL COTTON QN</t>
  </si>
  <si>
    <t>MP001971D</t>
  </si>
  <si>
    <t>706255526776</t>
  </si>
  <si>
    <t>Charter Club Damask Designs Geometric Dove Geo Dove FullQueen</t>
  </si>
  <si>
    <t>DPFQGEODOV</t>
  </si>
  <si>
    <t>100% COTTON; THREAD COUNT: 300</t>
  </si>
  <si>
    <t>734737635852</t>
  </si>
  <si>
    <t>Fairfield Square Collection PLM BRZ MLTI QN CS Multi Queen</t>
  </si>
  <si>
    <t>810026171581</t>
  </si>
  <si>
    <t>Cheer Collection Ultra Soft Faux Fur to Micropl Blue ONE SIZE</t>
  </si>
  <si>
    <t>CC-FRBLNK60X70-BLU</t>
  </si>
  <si>
    <t>MICROPLUSH</t>
  </si>
  <si>
    <t>86268142300</t>
  </si>
  <si>
    <t>Arlee Home Fashions Delano Set of Two Chair Pad Se Light Taupe 16x16</t>
  </si>
  <si>
    <t>19-63910LTA</t>
  </si>
  <si>
    <t>ARLEE HOME FASHIONS</t>
  </si>
  <si>
    <t>COVER: 100% POLYESTER, FILL: 100% PREMIUM GRADE MEMORY FOAM</t>
  </si>
  <si>
    <t>842941139155</t>
  </si>
  <si>
    <t>Tribeca Living Tribeca Living Flannel Queen F Ivory Queen</t>
  </si>
  <si>
    <t>FL170EDSIQUFIIV</t>
  </si>
  <si>
    <t>100% COTTON FLANNEL</t>
  </si>
  <si>
    <t>732995798302</t>
  </si>
  <si>
    <t>Martha Stewart Collection Essentials 4-Pc. Printed Micro Grey Dot King</t>
  </si>
  <si>
    <t>100061891KG</t>
  </si>
  <si>
    <t>809407120461</t>
  </si>
  <si>
    <t>Welhome Turkish Cotton 21 x 34 Bath White No Size</t>
  </si>
  <si>
    <t>ETUR-BTRG-RG04-01</t>
  </si>
  <si>
    <t>GOODFUL/WELSPUN USA INC</t>
  </si>
  <si>
    <t>732998237396</t>
  </si>
  <si>
    <t>Charter Club Damask Stripe Cotton 550-Threa Neo Natural Full Fitted</t>
  </si>
  <si>
    <t>100056013FL</t>
  </si>
  <si>
    <t>29927559170</t>
  </si>
  <si>
    <t>Sun Zero Sun Zero Duran 50 x 95 Textu White 50x95</t>
  </si>
  <si>
    <t>733001229971</t>
  </si>
  <si>
    <t>Martha Stewart Collection LAST ACT Feather Velvet Quilt Blue King Sham</t>
  </si>
  <si>
    <t>100104025KS</t>
  </si>
  <si>
    <t>86569111234</t>
  </si>
  <si>
    <t>JLA Home Spa Waffle Textured Stripe 72 Grey 72X72</t>
  </si>
  <si>
    <t>MCH70-988</t>
  </si>
  <si>
    <t>POLYESTER 185GSM</t>
  </si>
  <si>
    <t>706255888904</t>
  </si>
  <si>
    <t>Hotel Collection Turkish 20 x 34 Bath Rug Sandstone 20 x 34</t>
  </si>
  <si>
    <t>HTRKSH2X3SD</t>
  </si>
  <si>
    <t>29927534696</t>
  </si>
  <si>
    <t>Sun Zero Sun Zero Preston 40 x 108 Gr Pearl 40x108</t>
  </si>
  <si>
    <t>791551838692</t>
  </si>
  <si>
    <t>Berkshire Berkshire Classic Velvety Plus Sage Geo FullQueen</t>
  </si>
  <si>
    <t>16534-FQ-YH1</t>
  </si>
  <si>
    <t>732995537017</t>
  </si>
  <si>
    <t>Hotel Collection Woven Stripe Cotton 22 x 36 White Lily</t>
  </si>
  <si>
    <t>36"X22"</t>
  </si>
  <si>
    <t>733001947974</t>
  </si>
  <si>
    <t>Martha Stewart Collection Floral Bouquet Standard Sham, Ivory Standard Sham</t>
  </si>
  <si>
    <t>100115801ST</t>
  </si>
  <si>
    <t>97277294102</t>
  </si>
  <si>
    <t>Wildkin Wildkin Trains, Planes, Trucks Blue NO SIZE</t>
  </si>
  <si>
    <t>WILDKIN</t>
  </si>
  <si>
    <t>726895359138</t>
  </si>
  <si>
    <t>Martha Stewart Collection Westminster Vines Quilted Stan Medium Blue Standard Sham</t>
  </si>
  <si>
    <t>WSTMNSBLST</t>
  </si>
  <si>
    <t>733001891789</t>
  </si>
  <si>
    <t>Martha Stewart Collection Batik Embroidery Quilted Stand Beigekhaki Standard Sham</t>
  </si>
  <si>
    <t>100102820ST</t>
  </si>
  <si>
    <t>732996957562</t>
  </si>
  <si>
    <t>Hotel Collection Block Geo Cotton 30 x 56 Bat Vapor Combo Bath Towels</t>
  </si>
  <si>
    <t>633125192567</t>
  </si>
  <si>
    <t>Bath Bliss Bath Bliss Microfiber Soft Tou White No Size</t>
  </si>
  <si>
    <t>5416-WHITE</t>
  </si>
  <si>
    <t>LAURA ASHLEY/KENNEDY INTL INC</t>
  </si>
  <si>
    <t>733001891895</t>
  </si>
  <si>
    <t>Martha Stewart Collection Checker Floral 100 Cotton Sta Yellow Standard Sham</t>
  </si>
  <si>
    <t>100115802ST</t>
  </si>
  <si>
    <t>21864316793</t>
  </si>
  <si>
    <t>Avanti Braided Medallion Toothbrush H Avanti Braided Medallion Tooth</t>
  </si>
  <si>
    <t>11166BMUL</t>
  </si>
  <si>
    <t>734737536005</t>
  </si>
  <si>
    <t>Sunham Comfort Soft 21 x 34 Memory Slate 21 x 34</t>
  </si>
  <si>
    <t>R4431AB152134</t>
  </si>
  <si>
    <t>POLYURETHANE FOAM; POLYVINYL CHLORIDE BACKING</t>
  </si>
  <si>
    <t>706258050049</t>
  </si>
  <si>
    <t>Charter Club Damask Supima Cotton 550-Threa Parchment Beige Standard Pillowcases</t>
  </si>
  <si>
    <t>DLLSLSPCPAR</t>
  </si>
  <si>
    <t>636193128353</t>
  </si>
  <si>
    <t>Hotel Collection Turkish 13 Square Washcloth Steel Washcloths</t>
  </si>
  <si>
    <t>HTLTURWSTE</t>
  </si>
  <si>
    <t>42075593353</t>
  </si>
  <si>
    <t>Michael Aram Metallic Textured Coverlet Kin Ivory King</t>
  </si>
  <si>
    <t>2-0159QKIV</t>
  </si>
  <si>
    <t>780870688385</t>
  </si>
  <si>
    <t>CELESTE BASIC</t>
  </si>
  <si>
    <t>3990KGFTTIN</t>
  </si>
  <si>
    <t>KGJUMBOFIT</t>
  </si>
  <si>
    <t>100% ITALIAN SPUN EGYPTIAN COTTON PERCALE</t>
  </si>
  <si>
    <t>750105159317</t>
  </si>
  <si>
    <t>LUXE DOWN S K</t>
  </si>
  <si>
    <t>BLOP0630WK</t>
  </si>
  <si>
    <t>780870688392</t>
  </si>
  <si>
    <t>3990KGPCTIN</t>
  </si>
  <si>
    <t>750105159300</t>
  </si>
  <si>
    <t>LUXE DOWN S S/Q</t>
  </si>
  <si>
    <t>BLOP0630WS</t>
  </si>
  <si>
    <t>86569030016</t>
  </si>
  <si>
    <t>Madison Park Madison Park Laetitia FullQue Ivory FullQueen</t>
  </si>
  <si>
    <t>MP10-5873</t>
  </si>
  <si>
    <t>COMFORTER/SHAM: COTTON; FILL: POLYESTER</t>
  </si>
  <si>
    <t>735837574249</t>
  </si>
  <si>
    <t>Hotel Collection European White Goose Down Medi White Standard</t>
  </si>
  <si>
    <t>HWGDJM12</t>
  </si>
  <si>
    <t>846339088469</t>
  </si>
  <si>
    <t>J Queen New York Regency 300 Thread Count Cotto White</t>
  </si>
  <si>
    <t>2332020FTOP</t>
  </si>
  <si>
    <t>846339071980</t>
  </si>
  <si>
    <t>J Queen New York La Scala 84 Pair of Window Pa Gold ONE SIZE</t>
  </si>
  <si>
    <t>214103084PR</t>
  </si>
  <si>
    <t>86569046123</t>
  </si>
  <si>
    <t>JLA Home Sleep Philosophy 300 Thread Co White FullQueen</t>
  </si>
  <si>
    <t>BASI10-0553</t>
  </si>
  <si>
    <t>COMFORTER SHELL: 100% COTTON, 300 THREAD COUNT SATEEN WITH ANTIMICROBIAL AND ODOR ELIMINATING FABRIC; FILLING: 10OZ/YD2, 100% TENCEL FIBER; SEWING: 12" END-TO-END BOX WITH SELF PIPING</t>
  </si>
  <si>
    <t>64247003316</t>
  </si>
  <si>
    <t>Exclusive Home Nicole Miller Wellington Embel Silver 54x84</t>
  </si>
  <si>
    <t>EN703354X84</t>
  </si>
  <si>
    <t>EXCLUSIVE HOME/AMALGAMATED TEXTILES</t>
  </si>
  <si>
    <t>843145110353</t>
  </si>
  <si>
    <t>Chic Home Chic Home Daya 4-Pc. King Duve Taupe King</t>
  </si>
  <si>
    <t>BDS10353-MC</t>
  </si>
  <si>
    <t>FABRIC: 100% POLYESTER MICROFIBER</t>
  </si>
  <si>
    <t>8054404673539</t>
  </si>
  <si>
    <t>HOTEL COLLECTION BASIC</t>
  </si>
  <si>
    <t>3F07081D0200076DBB01</t>
  </si>
  <si>
    <t>FRETTE INC - MCYNET CONSIGNMENT</t>
  </si>
  <si>
    <t>728455048063</t>
  </si>
  <si>
    <t>Matouk Milagro Bath Sheet White</t>
  </si>
  <si>
    <t>T320STOWWH</t>
  </si>
  <si>
    <t>842491161040</t>
  </si>
  <si>
    <t>Sweet Home Collection Hotel Grand King Blanket Chocolate King</t>
  </si>
  <si>
    <t>BL-GRAND-KG</t>
  </si>
  <si>
    <t>846339092435</t>
  </si>
  <si>
    <t>J Queen New York Maribella Crimson Waterfall Va Crimson No Size</t>
  </si>
  <si>
    <t>2368023WTRSW</t>
  </si>
  <si>
    <t>846339066085</t>
  </si>
  <si>
    <t>J Queen New York Sicily Teal 33 x 49 Waterfal Teal ONE SIZE</t>
  </si>
  <si>
    <t>2065026WTRSW</t>
  </si>
  <si>
    <t>192020006800</t>
  </si>
  <si>
    <t>Great Bay Home Fashions Great Bay Home Fleece Printed Gray King</t>
  </si>
  <si>
    <t>GREAT BAY HOME FASHIONS LLC</t>
  </si>
  <si>
    <t>732995895452</t>
  </si>
  <si>
    <t>Hotel Collection Metallic Stone King Bedskirt Gold King</t>
  </si>
  <si>
    <t>100041574KG</t>
  </si>
  <si>
    <t>706257998199</t>
  </si>
  <si>
    <t>Hotel Collection Fresco European Sham Gold European Sham</t>
  </si>
  <si>
    <t>FO15ES790</t>
  </si>
  <si>
    <t>COTTON/RAYON</t>
  </si>
  <si>
    <t>29927548945</t>
  </si>
  <si>
    <t>Archaeo Archaeo Linen Blend 52 x 84 Pearl 52x84</t>
  </si>
  <si>
    <t>POLYESTER/LINEN</t>
  </si>
  <si>
    <t>783048038388</t>
  </si>
  <si>
    <t>Christian Siriano New York 60 x 70 Snow Leopard Luxury Grey And White 60x70</t>
  </si>
  <si>
    <t>TH2209GY-9100</t>
  </si>
  <si>
    <t>FAUX-FUR FABRIC: POLYESTER; POLYESTER FILL</t>
  </si>
  <si>
    <t>848539001033</t>
  </si>
  <si>
    <t>HOLLYWOOD PUMP BASIC</t>
  </si>
  <si>
    <t>JONATHAN ADLER ENTERPRISES LLC</t>
  </si>
  <si>
    <t>728455047851</t>
  </si>
  <si>
    <t>Matouk Milagro Bath Towel White</t>
  </si>
  <si>
    <t>T320BTOWWH</t>
  </si>
  <si>
    <t>726895863819</t>
  </si>
  <si>
    <t>Hotel Collection Linen Standard Sham White Standard Sham</t>
  </si>
  <si>
    <t>100028121SD</t>
  </si>
  <si>
    <t>675716571948</t>
  </si>
  <si>
    <t>Madison Park Saratoga 50 x 95 Fretwork-Pr Beige 50x95</t>
  </si>
  <si>
    <t>MP40-1283</t>
  </si>
  <si>
    <t>POLYESTER/RAYON/COTTON</t>
  </si>
  <si>
    <t>29927578270</t>
  </si>
  <si>
    <t>Sun Zero Oslo 52 x 108 Theater Grade Pearl 52x108</t>
  </si>
  <si>
    <t>8682486365525</t>
  </si>
  <si>
    <t>Ambesonne Ambesonne Vintage Shower Curta Seafoam No Size</t>
  </si>
  <si>
    <t>SC 56138</t>
  </si>
  <si>
    <t>679610822625</t>
  </si>
  <si>
    <t>Hallmart Collectibles Ambrosia 3-Pc. Reversible King Aqua King</t>
  </si>
  <si>
    <t>845951063472</t>
  </si>
  <si>
    <t>RT Designers Collection RT Designers Collection Herita Multi</t>
  </si>
  <si>
    <t>BSHS011</t>
  </si>
  <si>
    <t>RT DESIGNERSCOLLECT/RAMALLAH TRADIN</t>
  </si>
  <si>
    <t>732995895421</t>
  </si>
  <si>
    <t>Hotel Collection Metallic Stone Standard Sham Gold Standard Sham</t>
  </si>
  <si>
    <t>100038520SD</t>
  </si>
  <si>
    <t>POLYESTER / RAYON</t>
  </si>
  <si>
    <t>732999983797</t>
  </si>
  <si>
    <t>Hotel Collection Leaflet European Sham, Created Gold European Sham</t>
  </si>
  <si>
    <t>100077697ER</t>
  </si>
  <si>
    <t>42437002431</t>
  </si>
  <si>
    <t>Kenney Jillian 12 Window Curtain Ro Brown Marble 48-86in</t>
  </si>
  <si>
    <t>KN55181REM</t>
  </si>
  <si>
    <t>29927566864</t>
  </si>
  <si>
    <t>Sun Zero Cyrus 40 x 84 Thermal Blacko Blush 40x84</t>
  </si>
  <si>
    <t>675716665333</t>
  </si>
  <si>
    <t>Madison Park 20 Square Ogee-Print Microlig Gray 20x20</t>
  </si>
  <si>
    <t>MP30-1847</t>
  </si>
  <si>
    <t>732997147191</t>
  </si>
  <si>
    <t>Charter Club Damask Designs Oak Leaf Cotton Green European Sham</t>
  </si>
  <si>
    <t>100058467ER</t>
  </si>
  <si>
    <t>760028583151</t>
  </si>
  <si>
    <t>Simmons Memory Foam Cluster StandardQ White Standard</t>
  </si>
  <si>
    <t>2715SIGK-8J</t>
  </si>
  <si>
    <t>675716779993</t>
  </si>
  <si>
    <t>Charter Club Cozy Plush Throw Slate 50x70</t>
  </si>
  <si>
    <t>MCC50420</t>
  </si>
  <si>
    <t>34299129449</t>
  </si>
  <si>
    <t>Excell Mildew-Resistant 70 x 72 Sho Clear 72X72</t>
  </si>
  <si>
    <t>1C0-040C0-6006</t>
  </si>
  <si>
    <t>ALL PEVA</t>
  </si>
  <si>
    <t>846339030161</t>
  </si>
  <si>
    <t>J Queen New York J Queen New York Marquis King Cream King</t>
  </si>
  <si>
    <t>1519002KCS</t>
  </si>
  <si>
    <t>POLYESTER; POLYESTER FILL</t>
  </si>
  <si>
    <t>732997259818</t>
  </si>
  <si>
    <t>Hotel Collection Hotel Collection Italian Perca Champagne FullQueen</t>
  </si>
  <si>
    <t>100068761FQ</t>
  </si>
  <si>
    <t>735837083062</t>
  </si>
  <si>
    <t>Hotel Collection Hotel Collection Luxury Down A White King</t>
  </si>
  <si>
    <t>HDAK903</t>
  </si>
  <si>
    <t>883893482388</t>
  </si>
  <si>
    <t>Laura Ashley Laura Ashley King Heirloom Cro White King</t>
  </si>
  <si>
    <t>732996468013</t>
  </si>
  <si>
    <t>Hotel Collection Classic Roseblush FullQueen D Blush FullQueen</t>
  </si>
  <si>
    <t>100072028FQ</t>
  </si>
  <si>
    <t>FABRIC: POLYESTER/COTTON; REVERSES TO COTTON</t>
  </si>
  <si>
    <t>86569115195</t>
  </si>
  <si>
    <t>Natori N Natori Hanae King Cotton Ble Grey King</t>
  </si>
  <si>
    <t>NS12-3252</t>
  </si>
  <si>
    <t>NATORI/JLA HOME/E &amp; E CO LTD</t>
  </si>
  <si>
    <t>FACE: POLYESTER/COTTON YARN DYED FABRIC PIECED WITH COTTON PERCALE BINDING, REVERSE: COTTON PERCALE</t>
  </si>
  <si>
    <t>679610793017</t>
  </si>
  <si>
    <t>Hallmart Collectibles Marquis 10-Pc. Queen Comforter White Queen</t>
  </si>
  <si>
    <t>COMFORTER/SHAMS/PILLOWS/BEDSKIRT DROP: POLYESTER (EXCLUSIVE OF DECORATION); BEDSKIRT TOP: POLYPROPYLENE; THROW: ACRYLIC; FILLING: POLYESTER 91 GRAMS PER SQUARE METER</t>
  </si>
  <si>
    <t>733001365815</t>
  </si>
  <si>
    <t>Martha Stewart Collection LAST ACT Medallion Tufted Vel Burgundy FullQueen</t>
  </si>
  <si>
    <t>100106021FQ</t>
  </si>
  <si>
    <t>841700208453</t>
  </si>
  <si>
    <t>Dream Theory Dream Theory 20lb Microfiber W Orion Blue 48X72</t>
  </si>
  <si>
    <t>DT-WBDC-BL20</t>
  </si>
  <si>
    <t>DREAM THEORY/SUTTON HOME FASHIONS</t>
  </si>
  <si>
    <t>86569926982</t>
  </si>
  <si>
    <t>Madison Park Arya 3-Pc. KingCalifornia Kin Ivory KingCalifornia King</t>
  </si>
  <si>
    <t>MP10-5059</t>
  </si>
  <si>
    <t>32281252021</t>
  </si>
  <si>
    <t>Disney Elsa Color block 6pc Twin be Multi Color Twin</t>
  </si>
  <si>
    <t>JF25202</t>
  </si>
  <si>
    <t>86569926975</t>
  </si>
  <si>
    <t>Madison Park Arya Reversible 3-Pc. FullQue Blush FullQueen</t>
  </si>
  <si>
    <t>MP10-5061</t>
  </si>
  <si>
    <t>784851505005</t>
  </si>
  <si>
    <t>Elegant Comfort Elegant Comfort 8-Piece Pintuc Navy FullQueen</t>
  </si>
  <si>
    <t>8PCPINTUCKCOMFORTERQ</t>
  </si>
  <si>
    <t>86569033192</t>
  </si>
  <si>
    <t>JLA Home Kids Cloud Reversible 6-Pc. Da Blue Daybed</t>
  </si>
  <si>
    <t>UHK13-0084</t>
  </si>
  <si>
    <t>DAYBED COVER/SHAMS/BEDSKIRT DROP: COTTON; BEDSKIRT PLATFORM: POLYPROPYLENE; 7-OZ. COTTON DAYBED COVER FILL; POLYESTER DECORATIVE PILLOW FILL</t>
  </si>
  <si>
    <t>732999611850</t>
  </si>
  <si>
    <t>Charter Club Damask Designs Texture Dot Kin Sunglow Yellow King</t>
  </si>
  <si>
    <t>100088998KG</t>
  </si>
  <si>
    <t>750105138671</t>
  </si>
  <si>
    <t>Charter Club Medium Firm King Down Pillow White King</t>
  </si>
  <si>
    <t>FEDP0850WK</t>
  </si>
  <si>
    <t>846225030084</t>
  </si>
  <si>
    <t>Manor Luxe Manor Luxe Snowy Car By Santa Multi No Size</t>
  </si>
  <si>
    <t>ML189221318PILLOW</t>
  </si>
  <si>
    <t>INTREPID INTL TRADING CO LLC</t>
  </si>
  <si>
    <t>675716984809</t>
  </si>
  <si>
    <t>Sleep Philosophy True North 4-Piece Cotton Flan Multi Forest Animals King</t>
  </si>
  <si>
    <t>TN20-0273</t>
  </si>
  <si>
    <t>86569343499</t>
  </si>
  <si>
    <t>Urban Dreams Astro 5PC Comforter ensemble T Multi Twin</t>
  </si>
  <si>
    <t>MCH10-1682</t>
  </si>
  <si>
    <t>733001381617</t>
  </si>
  <si>
    <t>Charter Club Cotton Matelasse Ribbed 2-Pc. White Twin</t>
  </si>
  <si>
    <t>100108509TW</t>
  </si>
  <si>
    <t>191790041417</t>
  </si>
  <si>
    <t>25552104427AQT</t>
  </si>
  <si>
    <t>191790041196</t>
  </si>
  <si>
    <t>AQ Textiles Camden Sateen 1250-Thread Coun Ivory California King</t>
  </si>
  <si>
    <t>25542105003AQT</t>
  </si>
  <si>
    <t>734737635081</t>
  </si>
  <si>
    <t>Sunham T500 CVC Printed King Sheet Se Blush leaves King</t>
  </si>
  <si>
    <t>96675356238</t>
  </si>
  <si>
    <t>Charisma Charisma Gel-Infused Memory Fo White King</t>
  </si>
  <si>
    <t>191790041363</t>
  </si>
  <si>
    <t>AQ Textiles Camden Sateen 1250-Thread Coun Gray Queen</t>
  </si>
  <si>
    <t>25552103427AQT</t>
  </si>
  <si>
    <t>734737637511</t>
  </si>
  <si>
    <t>Fairfield Square Collection Aspen T1000 CVC Queen sheet se Green Queen</t>
  </si>
  <si>
    <t>86569376824</t>
  </si>
  <si>
    <t>Martha Stewart Collection Down Alternative Reverse to Pl Chocolate Lab FullQueen</t>
  </si>
  <si>
    <t>10028644FQ</t>
  </si>
  <si>
    <t>191790041011</t>
  </si>
  <si>
    <t>AQ Textiles Camden 1250 thread count 4 pc Gray Queen</t>
  </si>
  <si>
    <t>25542103427AQT</t>
  </si>
  <si>
    <t>734737581531</t>
  </si>
  <si>
    <t>Fairfield Square Collection Francie 6-Pc. Reversible Twin Burnt Red Twin XL</t>
  </si>
  <si>
    <t>726895450446</t>
  </si>
  <si>
    <t>Martha Stewart Collection Essentials Jersey 4-Pc. King S Grey King</t>
  </si>
  <si>
    <t>10015002KG</t>
  </si>
  <si>
    <t>733001040750</t>
  </si>
  <si>
    <t>Martha Stewart Collection 100 Cotton Flannel 3-Pc. Twin Haute Red Twin</t>
  </si>
  <si>
    <t>726895450521</t>
  </si>
  <si>
    <t>Martha Stewart Collection Essentials Jersey 4-Pc. Full S Grey Queen</t>
  </si>
  <si>
    <t>29927549089</t>
  </si>
  <si>
    <t>Archaeo Archaeo Slub Textured Linen Bl Ivory 52x95</t>
  </si>
  <si>
    <t>93% POLYESTER/7% LINEN</t>
  </si>
  <si>
    <t>877512005928</t>
  </si>
  <si>
    <t>Swift Home Ultra Soft Microfiber Double B White California King</t>
  </si>
  <si>
    <t>108145CALKING</t>
  </si>
  <si>
    <t>856381003983</t>
  </si>
  <si>
    <t>BedVoyage Viscose from Bamboo Crib Sheet Champagne Standard</t>
  </si>
  <si>
    <t>CRIB SHEET</t>
  </si>
  <si>
    <t>CRIBBOTFIT</t>
  </si>
  <si>
    <t>BEDVOYAGE</t>
  </si>
  <si>
    <t>100% RAYON FROM BAMBOO</t>
  </si>
  <si>
    <t>42075551957</t>
  </si>
  <si>
    <t>Peri Home PERI HOMEWORKS LATTICE SHOWER White ONE SIZE</t>
  </si>
  <si>
    <t>3-144207WT</t>
  </si>
  <si>
    <t>812209028682</t>
  </si>
  <si>
    <t>Tadpoles Tadpoles Gathered Crib Skirt W White Crib</t>
  </si>
  <si>
    <t>BDRBMF109</t>
  </si>
  <si>
    <t>29927524864</t>
  </si>
  <si>
    <t>Sun Zero Oslo 52 x 63 Theater Grade E Stone 52x63</t>
  </si>
  <si>
    <t>86569284877</t>
  </si>
  <si>
    <t>Madison Park Madison Park Simone 50 x 84 Grey 50x84</t>
  </si>
  <si>
    <t>MP40-6614</t>
  </si>
  <si>
    <t>734737500198</t>
  </si>
  <si>
    <t>Lacoste Match Cotton Colorblocked Bath Cliff</t>
  </si>
  <si>
    <t>T17608N1983052</t>
  </si>
  <si>
    <t>734737500228</t>
  </si>
  <si>
    <t>Lacoste Match Cotton Colorblocked Bath Magenta</t>
  </si>
  <si>
    <t>T17608R2583052</t>
  </si>
  <si>
    <t>29927534900</t>
  </si>
  <si>
    <t>No. 918 No. 918 Montego 48 x 95 Cu Marine 48x95</t>
  </si>
  <si>
    <t>29927468250</t>
  </si>
  <si>
    <t>No. 918 No. 918 Montego 48 x 63 Curt Nickel 48x63</t>
  </si>
  <si>
    <t>91116707303</t>
  </si>
  <si>
    <t>Sanders Printed Microfiber Full Sheet Edgewood Blue Full</t>
  </si>
  <si>
    <t>91116695358</t>
  </si>
  <si>
    <t>Sanders Printed Microfiber Full Sheet Chantel Spring Full</t>
  </si>
  <si>
    <t>PINKOVERFL</t>
  </si>
  <si>
    <t>636189806609</t>
  </si>
  <si>
    <t>Charter Club Damask Stripe Supima Cotton 55 Aqua Crystal Standard Pillowcases</t>
  </si>
  <si>
    <t>DLLSTSPCAQA</t>
  </si>
  <si>
    <t>733001830320</t>
  </si>
  <si>
    <t>Charter Club Down Alternative Medium Standa White Standard</t>
  </si>
  <si>
    <t>100118932SQ</t>
  </si>
  <si>
    <t>706257404249</t>
  </si>
  <si>
    <t>Hotel Collection Sculpted 13 Square Cotton Was Steel Washcloths</t>
  </si>
  <si>
    <t>HTLSLPWSTE</t>
  </si>
  <si>
    <t>734737645363</t>
  </si>
  <si>
    <t>Sunham Soft Spun Cotton Wash Towel Lilac Washcloths</t>
  </si>
  <si>
    <t>T18437R1421212</t>
  </si>
  <si>
    <t>788904039356</t>
  </si>
  <si>
    <t>Royal Luxe Royal Luxe Microfiber Color Do Burgundy King</t>
  </si>
  <si>
    <t>733001948049</t>
  </si>
  <si>
    <t>DRAFT - Hotel Collection Resor Lt Lagoon No Size</t>
  </si>
  <si>
    <t>83013128596</t>
  </si>
  <si>
    <t>Croscill Croscill Janine 4 Piece King Blue King</t>
  </si>
  <si>
    <t>2A0-004C0-9001</t>
  </si>
  <si>
    <t>733001923213</t>
  </si>
  <si>
    <t>Hotel Collection Burnish Bronze King Comforter, Bronze King</t>
  </si>
  <si>
    <t>100115764KG</t>
  </si>
  <si>
    <t>38992937660</t>
  </si>
  <si>
    <t>Waterford Waterford Abella 5 Piece Comfo Blush FullQueen</t>
  </si>
  <si>
    <t>5PABLAW69006FQ</t>
  </si>
  <si>
    <t>WATERFORD/W-C HOME FASHIONS LLC</t>
  </si>
  <si>
    <t>734737495609</t>
  </si>
  <si>
    <t>Lacoste Home Meribel Colorblocked King Comf Navy King</t>
  </si>
  <si>
    <t>675716251444</t>
  </si>
  <si>
    <t>Harbor House Chelsea 4-Pc. King Comforter S Multi King</t>
  </si>
  <si>
    <t>HH10-495</t>
  </si>
  <si>
    <t>HARBOR HOUSE/JLA HOME/E &amp; E CO LTD</t>
  </si>
  <si>
    <t>COMFORTER/SHAM FACE: COTTON; COMFORTER/SHAM BACK: COTTON; BEDSKIRT PLATFORM: POLYESTER/COTTON; BEDSKIRT: COTTON; FILL: POLYESTER</t>
  </si>
  <si>
    <t>732996468921</t>
  </si>
  <si>
    <t>Hotel Collection Classic Egyptian Cotton 400-Th White King</t>
  </si>
  <si>
    <t>100067147KG</t>
  </si>
  <si>
    <t>734737671867</t>
  </si>
  <si>
    <t>Sunham Hilton 14-Pc. Damask-Print Que Red Queen</t>
  </si>
  <si>
    <t>843567112683</t>
  </si>
  <si>
    <t>B. Smith B. Smith Lisbeth Light Filteri Indigo 52x96</t>
  </si>
  <si>
    <t>NEF20-96LNI121</t>
  </si>
  <si>
    <t>LUX&amp;LIVING/SILK HOME INC</t>
  </si>
  <si>
    <t>706258596677</t>
  </si>
  <si>
    <t>Charter Club Ultra Fine Cotton 800-Thread C White Queen</t>
  </si>
  <si>
    <t>T800QNSWHT</t>
  </si>
  <si>
    <t>22415138611</t>
  </si>
  <si>
    <t>Sealy Sealy Soft Fluffy Comforter, T White Twin</t>
  </si>
  <si>
    <t>AMERICAN TEXTILE COMPANY</t>
  </si>
  <si>
    <t>86569004864</t>
  </si>
  <si>
    <t>JLA Home 510 Design Ramsey King Embroid Neutral King</t>
  </si>
  <si>
    <t>5DS10-0048</t>
  </si>
  <si>
    <t>COMFORTER/SHAM/BEDSKIRT DROP/DECORATIVE PILLOW/EURO SHAM - 85GSM POLYESTER MICROFIBER, BEDSKIRT PLATFORM - POLYPROPYLENE NON-WOVEN FABRIC, COMFORTER/DECORATIVE PILLOW FILL - 100% POLYESTER</t>
  </si>
  <si>
    <t>732998897705</t>
  </si>
  <si>
    <t>Charter Club Damask Designs Jacobean 300-Th Smoke King</t>
  </si>
  <si>
    <t>100079947KG</t>
  </si>
  <si>
    <t>733001843726</t>
  </si>
  <si>
    <t>Charter Club Amara 300-Thread Count 3-Pc. P Navy FullQueen</t>
  </si>
  <si>
    <t>100115576FQ</t>
  </si>
  <si>
    <t>706258049524</t>
  </si>
  <si>
    <t>Charter Club Damask Supima Cotton 550-Threa Parchment Beige Full</t>
  </si>
  <si>
    <t>DLLSLFLSPAR</t>
  </si>
  <si>
    <t>86569002228</t>
  </si>
  <si>
    <t>Intelligent Design Waterfall 5-Pc. FullQueen Com Blush FullQueen</t>
  </si>
  <si>
    <t>ID10-1381</t>
  </si>
  <si>
    <t>COMFORTER/SHAM/PILLOW: POLYESTER; PILLOW FILL: POLYESTER; COMFORTER/SHAM FILL: POLYESTER 200 GRAMS PER SQUARE METER</t>
  </si>
  <si>
    <t>96675701120</t>
  </si>
  <si>
    <t>SensorGel Cold Touch Gusseted Gel Infuse White King</t>
  </si>
  <si>
    <t>96675700819</t>
  </si>
  <si>
    <t>SensorGel Cool Coat Arctic Gusset Gel In White Standard</t>
  </si>
  <si>
    <t>194938008266</t>
  </si>
  <si>
    <t>Home Boutique CLOSEOUT 3-Piece Microfiber F White FullQueen</t>
  </si>
  <si>
    <t>16T006513</t>
  </si>
  <si>
    <t>816651022373</t>
  </si>
  <si>
    <t>ienjoy Home The Timeless Classics by Home Aqua Soft Polka Dots King</t>
  </si>
  <si>
    <t>4PPOKAKIENJ</t>
  </si>
  <si>
    <t>816651022724</t>
  </si>
  <si>
    <t>ienjoy Home The Timeless Classics by Home Grey Soft Vines King</t>
  </si>
  <si>
    <t>4PVINEKIENJ</t>
  </si>
  <si>
    <t>96675701113</t>
  </si>
  <si>
    <t>SensorGel Cold Touch Gusseted Gel Infuse White Standard</t>
  </si>
  <si>
    <t>190945090010</t>
  </si>
  <si>
    <t>Levtex Santa Fe Reversible Quilted Th Gray 50x60</t>
  </si>
  <si>
    <t>L91200QT</t>
  </si>
  <si>
    <t>86569069375</t>
  </si>
  <si>
    <t>Martha Stewart Collection Down Alternative Reverse to Pl Ash Twin</t>
  </si>
  <si>
    <t>10028644TW</t>
  </si>
  <si>
    <t>883893297043</t>
  </si>
  <si>
    <t>Tommy Bahama Home Shoretown Trellis Pelican Grey Pelican Grey No Size</t>
  </si>
  <si>
    <t>REVMAN INTERNATIONAL INC</t>
  </si>
  <si>
    <t>706258091202</t>
  </si>
  <si>
    <t>Charter Club Damask Pima Cotton 550-Thread Stone Dark Grey King</t>
  </si>
  <si>
    <t>DNSLDKGBSTN</t>
  </si>
  <si>
    <t>26865966626</t>
  </si>
  <si>
    <t>Elrene Darla 52 x 84 Ironwork Black Light Gray 52x84</t>
  </si>
  <si>
    <t>22791LGY</t>
  </si>
  <si>
    <t>29927557480</t>
  </si>
  <si>
    <t>Sun Zero Bardot 40 x 84 Faux Dupioni Oatmeal 40x84</t>
  </si>
  <si>
    <t>783048141378</t>
  </si>
  <si>
    <t>Pem America Cherry Blossom 3-Pc. Reversibl Red FullQueen</t>
  </si>
  <si>
    <t>CS3929FQ-1540</t>
  </si>
  <si>
    <t>783048113498</t>
  </si>
  <si>
    <t>Pem America Sandrine 3-Pc. FullQueen Comf Yellow Twin</t>
  </si>
  <si>
    <t>CS3317TW-1540</t>
  </si>
  <si>
    <t>739550350067</t>
  </si>
  <si>
    <t>Elrene SunVeil Vanderbilt Beaded Wate Gold 42x22</t>
  </si>
  <si>
    <t>96169GLD</t>
  </si>
  <si>
    <t>11 PLT SGL</t>
  </si>
  <si>
    <t>86569928214</t>
  </si>
  <si>
    <t>Madison Park Hayden Reversible 2-Pc. Twin D Blue Twin</t>
  </si>
  <si>
    <t>MPE12-639</t>
  </si>
  <si>
    <t>FABRIC: POLYESTER 85 GSM</t>
  </si>
  <si>
    <t>29927431957</t>
  </si>
  <si>
    <t>1123714MULTI20X20</t>
  </si>
  <si>
    <t>689439434879</t>
  </si>
  <si>
    <t>Hotel Collection Embroidered Frame Quilted Stan White Standard Sham</t>
  </si>
  <si>
    <t>EW22QS790</t>
  </si>
  <si>
    <t>29927524987</t>
  </si>
  <si>
    <t>Sun Zero Oslo 52 x 95 Theater Grade E Stone 52x95</t>
  </si>
  <si>
    <t>807882434530</t>
  </si>
  <si>
    <t>THRO Ibenz Ice Velvet Pillow, 14 x Pacific</t>
  </si>
  <si>
    <t>TH014510001E</t>
  </si>
  <si>
    <t>31374564102</t>
  </si>
  <si>
    <t>Martha Stewart Collection Essentials 7-Zone Twin Memory White Twin</t>
  </si>
  <si>
    <t>10012212TW</t>
  </si>
  <si>
    <t>POLYURETHANE FOAM</t>
  </si>
  <si>
    <t>788904130084</t>
  </si>
  <si>
    <t>Royal Luxe Royal Luxe Microfiber Color Do Cream Twin</t>
  </si>
  <si>
    <t>732994990585</t>
  </si>
  <si>
    <t>Charter Club Damask Solid 500 Thread Count White Standard Sham</t>
  </si>
  <si>
    <t>DLSLSTHWHI</t>
  </si>
  <si>
    <t>636189463307</t>
  </si>
  <si>
    <t>Martha Stewart Collection Martha Stewart Collection Garr Grey Standard Sham</t>
  </si>
  <si>
    <t>QLTGNST618</t>
  </si>
  <si>
    <t>85214121888</t>
  </si>
  <si>
    <t>Disney Disney Toy Story 4 Nap Mat She Multi ONE SIZE</t>
  </si>
  <si>
    <t>25695992904</t>
  </si>
  <si>
    <t>Calvin Klein Monogram Logo Firm Support Cot White</t>
  </si>
  <si>
    <t>99290-5679</t>
  </si>
  <si>
    <t>COTTON COVER; POLYESTER FIBER FILL</t>
  </si>
  <si>
    <t>709996836302</t>
  </si>
  <si>
    <t>Mystic Apparel La Casa Bella Plush Diamond 18 Camel 18x18</t>
  </si>
  <si>
    <t>189490MY</t>
  </si>
  <si>
    <t>MYSTIC APPAREL LLC</t>
  </si>
  <si>
    <t>732995096828</t>
  </si>
  <si>
    <t>Martha Stewart Collection Martha Stewart Whim Print Cott Cherry Standard</t>
  </si>
  <si>
    <t>100037949PC</t>
  </si>
  <si>
    <t>85214123684</t>
  </si>
  <si>
    <t>NoJo Batman Preschool Nap Mat Sheet Blue ONE SIZE</t>
  </si>
  <si>
    <t>732998768159</t>
  </si>
  <si>
    <t>Home Design Cotton 27.6 x 54 Bath Towel Light Teal Bath Towels</t>
  </si>
  <si>
    <t>HOME DESIGN STUDIO-EDI/WELSPUN</t>
  </si>
  <si>
    <t>733001039945</t>
  </si>
  <si>
    <t>Martha Stewart Collection Luxury 100 Cotton Flannel 4-P Pearl Queen</t>
  </si>
  <si>
    <t>100020870QN</t>
  </si>
  <si>
    <t>844353568134</t>
  </si>
  <si>
    <t>Rizzy Home Rizzy Home Stripes Decorative Charcoal 20 x 20</t>
  </si>
  <si>
    <t>COVT16953GYNT2020</t>
  </si>
  <si>
    <t>688614000373</t>
  </si>
  <si>
    <t>DRAFT - Tribeca Living 170-Gsm Dark Brown</t>
  </si>
  <si>
    <t>FL170EDSIQUFICH</t>
  </si>
  <si>
    <t>83013064955</t>
  </si>
  <si>
    <t>Croscill Phoebe Queen Comforter Set Ivory Queen</t>
  </si>
  <si>
    <t>2A0-013O0-9934</t>
  </si>
  <si>
    <t>EX-CELL HOME FASHIONS INC</t>
  </si>
  <si>
    <t>732998346654</t>
  </si>
  <si>
    <t>Martha Stewart Collection Ivory Paisley Plume 14-Pc. Kin Ivory King</t>
  </si>
  <si>
    <t>100089179KG</t>
  </si>
  <si>
    <t>CLSD-MS M/BED</t>
  </si>
  <si>
    <t>MARTHA STEWART-EDI/BCP HOME INC</t>
  </si>
  <si>
    <t>733001923329</t>
  </si>
  <si>
    <t>Hotel Collection Burnish Bronze FullQueen Cove Bronze FullQueen</t>
  </si>
  <si>
    <t>100117130QN</t>
  </si>
  <si>
    <t>86569390486</t>
  </si>
  <si>
    <t>Premier Comfort Premier Comfort Microlight Ele Gray Queen</t>
  </si>
  <si>
    <t>MCC54-2155</t>
  </si>
  <si>
    <t>814168021148</t>
  </si>
  <si>
    <t>Rio Home Fashions Rio Home Fashions Hotel Laundr Gray Queen</t>
  </si>
  <si>
    <t>MFTH0186Q</t>
  </si>
  <si>
    <t>RIO HOME FASHIONS</t>
  </si>
  <si>
    <t>2.5" 1.8LB CHARCOAL INFUSED AIR FOAM</t>
  </si>
  <si>
    <t>750105134390</t>
  </si>
  <si>
    <t>Charter Club European White Down Medium Wei White Twin</t>
  </si>
  <si>
    <t>FEDC0820WT</t>
  </si>
  <si>
    <t>657812169847</t>
  </si>
  <si>
    <t>Biddeford Comfort Knit Fleece Electric K Fawn King</t>
  </si>
  <si>
    <t>1004-9052277706</t>
  </si>
  <si>
    <t>750105134024</t>
  </si>
  <si>
    <t>Charter Club European White Down Lightweigh White Twin</t>
  </si>
  <si>
    <t>FEDC0810WT</t>
  </si>
  <si>
    <t>733001386902</t>
  </si>
  <si>
    <t>Charter Club Damask Velvet 3 pc FullQueen Grey FullQueen</t>
  </si>
  <si>
    <t>100108653FQ</t>
  </si>
  <si>
    <t>853975005620</t>
  </si>
  <si>
    <t>Pure Enrichment Pure Enrichment Purerelief Ele Gray Throw</t>
  </si>
  <si>
    <t>PEHTTHRO-G</t>
  </si>
  <si>
    <t>BEAR DOWN BRANDS LLC</t>
  </si>
  <si>
    <t>706258051411</t>
  </si>
  <si>
    <t>Charter Club Damask Cotton 210-Thread Count White King</t>
  </si>
  <si>
    <t>DSKQLTCKGWH</t>
  </si>
  <si>
    <t>706254838917</t>
  </si>
  <si>
    <t>Martha Stewart Collection Seersucker 3-Pc. King Comforte Grey King</t>
  </si>
  <si>
    <t>100036508KG</t>
  </si>
  <si>
    <t>FABRIC: COTTON/SPANDEX; REVERSE: COTTON THREAD COUNT: 188; POLYESTER FILL</t>
  </si>
  <si>
    <t>732997493977</t>
  </si>
  <si>
    <t>Charter Club Damask Cotton 550-Thread Count Smoke Grey King</t>
  </si>
  <si>
    <t>100068875KG</t>
  </si>
  <si>
    <t>FABRIC: 100% COTTON THREAD COUNT: 550</t>
  </si>
  <si>
    <t>732994477260</t>
  </si>
  <si>
    <t>Martha Stewart Collection Box Plaid Reversible Yarn-Dyed Grey FullQueen</t>
  </si>
  <si>
    <t>BOXPLDFQ</t>
  </si>
  <si>
    <t>732997452011</t>
  </si>
  <si>
    <t>Martha Stewart Collection Holiday Patchwork Twin Quilt Red TwinTwin XL</t>
  </si>
  <si>
    <t>100064583TW</t>
  </si>
  <si>
    <t>706258088837</t>
  </si>
  <si>
    <t>Charter Club Damask Supima Cotton 550-Threa Pomegranate Burgundy Queen</t>
  </si>
  <si>
    <t>DLDSLQNSPOM</t>
  </si>
  <si>
    <t>706258050797</t>
  </si>
  <si>
    <t>Charter Club Damask Stripe Supima Cotton 55 Taupe Queen</t>
  </si>
  <si>
    <t>DLLSTQNSTAU</t>
  </si>
  <si>
    <t>732998237990</t>
  </si>
  <si>
    <t>Charter Club Damask Cotton 210-Thread Count Perriwinkle FullQueen</t>
  </si>
  <si>
    <t>100083278FQ</t>
  </si>
  <si>
    <t>750105138664</t>
  </si>
  <si>
    <t>Charter Club Medium Firm StandardQueen Dow White StandardQueen</t>
  </si>
  <si>
    <t>FEDP0850WQ</t>
  </si>
  <si>
    <t>709271454290</t>
  </si>
  <si>
    <t>Calvin Klein Calvin Klein Modern Cotton Kle Charcoal Throw</t>
  </si>
  <si>
    <t>2110160-TS-C1-D2</t>
  </si>
  <si>
    <t>783048102652</t>
  </si>
  <si>
    <t>Truly Soft Truly Soft Cuddle Warmth 3 Pie Grey FullQueen</t>
  </si>
  <si>
    <t>CS3142GYFQ-1500</t>
  </si>
  <si>
    <t>732999855179</t>
  </si>
  <si>
    <t>Charter Club Damask Designs Floral Blooms 3 Grey King</t>
  </si>
  <si>
    <t>100100265KG</t>
  </si>
  <si>
    <t>675716412258</t>
  </si>
  <si>
    <t>Mi Zone Tamil 4-Pc. FullQueen Coverle Multi FullQueen</t>
  </si>
  <si>
    <t>MZ80-065</t>
  </si>
  <si>
    <t>COVERLET/SHAM/PILLOW COVER: POLYESTER; COVERLET/SHAM FILL: COTTON 240 GRAMS PER SQUARE METER; PILLOW FILL: POLYESTER</t>
  </si>
  <si>
    <t>766195315113</t>
  </si>
  <si>
    <t>Tommy Hilfiger Tommy Hilfiger Solid Core Quee Light Blue Queen</t>
  </si>
  <si>
    <t>10T1440-QN-B1-D2</t>
  </si>
  <si>
    <t>42075573591</t>
  </si>
  <si>
    <t>Peri Home CLOSEOUT Peri Home Gauze Croc Grey ONE SIZE</t>
  </si>
  <si>
    <t>2-21410PGY</t>
  </si>
  <si>
    <t>732996468709</t>
  </si>
  <si>
    <t>Hotel Collection Classic White Matelasse Europ White European Sham</t>
  </si>
  <si>
    <t>100072155ER</t>
  </si>
  <si>
    <t>732999571802</t>
  </si>
  <si>
    <t>Charter Club Sleep Cool Egyptian Hygro Cott Pastel Marine Twin XL</t>
  </si>
  <si>
    <t>100048387TX</t>
  </si>
  <si>
    <t>88377001349</t>
  </si>
  <si>
    <t>EcoPure Quilted Stripe Jacquard Twin D White Twin</t>
  </si>
  <si>
    <t>ARQ9001349</t>
  </si>
  <si>
    <t>VELLUX/WESTPOINT HOME</t>
  </si>
  <si>
    <t>29927566086</t>
  </si>
  <si>
    <t>Sun Zero Sun Zero Noir 52 x 96 Textur Cream 52x96</t>
  </si>
  <si>
    <t>732994350709</t>
  </si>
  <si>
    <t>Lucky Brand Vintage Wash King Sham Asphalt King Sham</t>
  </si>
  <si>
    <t>OA9KGSHLBR</t>
  </si>
  <si>
    <t>CLSD-LKY BEDD</t>
  </si>
  <si>
    <t>LUCKY - MMG</t>
  </si>
  <si>
    <t>786696097455</t>
  </si>
  <si>
    <t>HotelSpa AquaCare By Hotel Spa 7-Settin Chrome</t>
  </si>
  <si>
    <t>INTERLINK PRODUCTS</t>
  </si>
  <si>
    <t>HIGH-GRADE ABS PLASTIC</t>
  </si>
  <si>
    <t>850011548400</t>
  </si>
  <si>
    <t>Manhattan Heights Renata 8-Pc. Reversible Full C Multi Full</t>
  </si>
  <si>
    <t>RENATA BIAB FULL</t>
  </si>
  <si>
    <t>CHINA FORTUNE LLC</t>
  </si>
  <si>
    <t>841643114668</t>
  </si>
  <si>
    <t>Duck River Textile Carlee 3-Piece Bow Trim Kitche White-Navy ONE SIZE</t>
  </si>
  <si>
    <t>CAKWN-12-13098</t>
  </si>
  <si>
    <t>732995191899</t>
  </si>
  <si>
    <t>Charter Club Damask Stripe Cotton 550-Threa Smoke Grey Queen Flat</t>
  </si>
  <si>
    <t>100056005QN</t>
  </si>
  <si>
    <t>QUEEN FLAT</t>
  </si>
  <si>
    <t>8682486366676</t>
  </si>
  <si>
    <t>Ambesonne Ambesonne Winter Shower Curtai Blue No Size</t>
  </si>
  <si>
    <t>SC 18889</t>
  </si>
  <si>
    <t>732995192315</t>
  </si>
  <si>
    <t>Charter Club Damask Solid Cotton 550-Thread Parchment Beige Full Fitted</t>
  </si>
  <si>
    <t>100056019FL</t>
  </si>
  <si>
    <t>29927524970</t>
  </si>
  <si>
    <t>Sun Zero Oslo 52 x 95 Theater Grade E Taupe 52x95</t>
  </si>
  <si>
    <t>788904002060</t>
  </si>
  <si>
    <t>Blue Ridge Blue Ridge Reversible Down Alt Whiteplatinum Twin</t>
  </si>
  <si>
    <t>21864360444</t>
  </si>
  <si>
    <t>Avanti Dotted Circle Tray Tray</t>
  </si>
  <si>
    <t>13870TY</t>
  </si>
  <si>
    <t>RESIN</t>
  </si>
  <si>
    <t>732998362395</t>
  </si>
  <si>
    <t>Hotel Collection Hotel Collection Petal Standar Lightpastel Standard Sham</t>
  </si>
  <si>
    <t>100077501SD</t>
  </si>
  <si>
    <t>STANDARD</t>
  </si>
  <si>
    <t>732998409052</t>
  </si>
  <si>
    <t>Martha Stewart Collection Coastal Yarndye King Sham Blue King</t>
  </si>
  <si>
    <t>100070864KS</t>
  </si>
  <si>
    <t>733001230007</t>
  </si>
  <si>
    <t>Martha Stewart Collection LAST ACT Feather Velvet Quilt Blue Standard Sham</t>
  </si>
  <si>
    <t>100104025ST</t>
  </si>
  <si>
    <t>791551864356</t>
  </si>
  <si>
    <t>Berkshire VelvetLoft Plaid 50 x 60 Thr Enfield Plaid Neutral ONE SIZE</t>
  </si>
  <si>
    <t>E4951-T1-LG8</t>
  </si>
  <si>
    <t>734737630017</t>
  </si>
  <si>
    <t>Lacoste Raster Cotton 30 x 54 Bath T Meteorite Bath Towels</t>
  </si>
  <si>
    <t>T21480N4633054</t>
  </si>
  <si>
    <t>733001363132</t>
  </si>
  <si>
    <t>Martha Stewart Collection LAST ACT Medallion Tufted Vel Gray Standard Sham</t>
  </si>
  <si>
    <t>29927553734</t>
  </si>
  <si>
    <t>Sun Zero Sun Zero Preston 40 x 95 Gro Teal 40x95</t>
  </si>
  <si>
    <t>29927440300</t>
  </si>
  <si>
    <t>Sun Zero Sun Zero Preston 40 x 84 Gro Charcoal 40x84</t>
  </si>
  <si>
    <t>732998408611</t>
  </si>
  <si>
    <t>Martha Stewart Collection Reversible Printed Geometric S Blue Standard Sham</t>
  </si>
  <si>
    <t>100082682ST</t>
  </si>
  <si>
    <t>733001712978</t>
  </si>
  <si>
    <t>Martha Stewart Collection Holiday Yarn-Dye Quilted Stand Red Standard Sham</t>
  </si>
  <si>
    <t>100104003ST</t>
  </si>
  <si>
    <t>34299129418</t>
  </si>
  <si>
    <t>Excell Weighted 70 x 72 Shower Curt White</t>
  </si>
  <si>
    <t>46249646678</t>
  </si>
  <si>
    <t>Tommy Hilfiger Modern American 30 x 54 Cott White Bath Towels</t>
  </si>
  <si>
    <t>27T0465-BT-B2-D1</t>
  </si>
  <si>
    <t>633125096445</t>
  </si>
  <si>
    <t>Home Details Home Details Curtain Rings, 10 Black</t>
  </si>
  <si>
    <t>9644 R BL 40</t>
  </si>
  <si>
    <t>KENNEDY INTERNATIONAL INC</t>
  </si>
  <si>
    <t>100% STEEL</t>
  </si>
  <si>
    <t>46249646777</t>
  </si>
  <si>
    <t>Tommy Hilfiger Modern American 16 x 26 Cott Lt Grey Hand Towels</t>
  </si>
  <si>
    <t>27T0465-HD-G1-E1</t>
  </si>
  <si>
    <t>840444130150</t>
  </si>
  <si>
    <t>Chic Home Chic Home Covington 24-Pc. Kin Black King</t>
  </si>
  <si>
    <t>CS3015-MC</t>
  </si>
  <si>
    <t>733001362012</t>
  </si>
  <si>
    <t>Martha Stewart Collection Martha Stewart Collection Star Multi FullQueen</t>
  </si>
  <si>
    <t>100109549FQ</t>
  </si>
  <si>
    <t>857525008000</t>
  </si>
  <si>
    <t>Pillow Guy White Down Stomach Sleeper Sof White StandardQueen</t>
  </si>
  <si>
    <t>PG-1DPS-WH-J</t>
  </si>
  <si>
    <t>PILLOW GUY INC</t>
  </si>
  <si>
    <t>PILLOW: 100% COTTON 233 THREAD COUNT DOWN PROOF SHELL, 650 FILL POWER WHITE GOOSE DOWN; FILL WEIGHT: 22OZ PILLOW PROTECTOR: 100% COTTON 400 THREAD COUNT SATEEN, PRESHRINK;</t>
  </si>
  <si>
    <t>734737636910</t>
  </si>
  <si>
    <t>Sunham Huntington Red Q CS Red Queen</t>
  </si>
  <si>
    <t>732995559422</t>
  </si>
  <si>
    <t>Charter Club Damask Designs Basket Stripe C White King</t>
  </si>
  <si>
    <t>100045793KG</t>
  </si>
  <si>
    <t>CHARTER CLUB-EDI/RWI/NAISHAT</t>
  </si>
  <si>
    <t>86569294173</t>
  </si>
  <si>
    <t>Madison Park Essentials Madison Park Essentials Dalton GrayCharcoal Queen</t>
  </si>
  <si>
    <t>MPE10-851</t>
  </si>
  <si>
    <t>732995559415</t>
  </si>
  <si>
    <t>Charter Club Damask Designs Basket Stripe C White FullQueen</t>
  </si>
  <si>
    <t>100045793FQ</t>
  </si>
  <si>
    <t>FABRIC: 100% COTTON; THREAD COUNT: 155 (FRONT)/140 (BACK)</t>
  </si>
  <si>
    <t>732998216254</t>
  </si>
  <si>
    <t>Charter Club Damask Thin Stripe Cotton 550- Neo Natural FullQueen</t>
  </si>
  <si>
    <t>100051414FQ</t>
  </si>
  <si>
    <t>783048132888</t>
  </si>
  <si>
    <t>Truly Soft Corduroy King Comforter Red King</t>
  </si>
  <si>
    <t>CS3764RTKG-1740</t>
  </si>
  <si>
    <t>816651024940</t>
  </si>
  <si>
    <t>ienjoy Home Home Collection Premium Ultra White King</t>
  </si>
  <si>
    <t>QLTDAMKIENJ</t>
  </si>
  <si>
    <t>191790023420</t>
  </si>
  <si>
    <t>Fairfield Square Collection Fairfield Square Sydney 825-Th Ivory Queen</t>
  </si>
  <si>
    <t>23202103003AQT</t>
  </si>
  <si>
    <t>646998689744</t>
  </si>
  <si>
    <t>Martha Stewart Collection Palermo Pole Top 50 x 95 Cur Champagne 50x95</t>
  </si>
  <si>
    <t>1-20040ACH</t>
  </si>
  <si>
    <t>96675622258</t>
  </si>
  <si>
    <t>SensorGel Luxury Gel-Infused Contoured K White ONE SIZE</t>
  </si>
  <si>
    <t>COVER: RAYON; INNER COVER/YARNS/BACK: POLYESTER; FILL: MEMORY FOAM</t>
  </si>
  <si>
    <t>86569971289</t>
  </si>
  <si>
    <t>Madison Park Madison Park Essentials Satin Purple Queen</t>
  </si>
  <si>
    <t>MPE20-714</t>
  </si>
  <si>
    <t>732997629345</t>
  </si>
  <si>
    <t>Charter Club Damask Designs Honeycomb 50 x Red Throw</t>
  </si>
  <si>
    <t>706257998281</t>
  </si>
  <si>
    <t>Hotel Collection Fresco Quilted Standard Sham Gold Standard Sham</t>
  </si>
  <si>
    <t>FO25QS790</t>
  </si>
  <si>
    <t>848971055526</t>
  </si>
  <si>
    <t>Brookside Down Alternative Quilted Comfo White TwinTwin XL</t>
  </si>
  <si>
    <t>BS70TXMICO</t>
  </si>
  <si>
    <t>LTCOMFORTE</t>
  </si>
  <si>
    <t>706258616375</t>
  </si>
  <si>
    <t>Martha Stewart Collection Essentials Queen Waterproof Ma White Queen</t>
  </si>
  <si>
    <t>100058084QN</t>
  </si>
  <si>
    <t>679610755497</t>
  </si>
  <si>
    <t>Hallmart Collectibles Amanda 3-Pc. Reversible FullQ Multi FullQueen</t>
  </si>
  <si>
    <t>FABRIC AND FILL: POLYESTER</t>
  </si>
  <si>
    <t>783048124999</t>
  </si>
  <si>
    <t>Pem America Manilla Floral FullQueen 3PC Multi FullQueen</t>
  </si>
  <si>
    <t>CS3551FQ-1540</t>
  </si>
  <si>
    <t>10482003208</t>
  </si>
  <si>
    <t>Fresh Ideas Poplin Tailored Queen Bed Skir Navy Queen</t>
  </si>
  <si>
    <t>FRE20114NAVY03</t>
  </si>
  <si>
    <t>BEDSKIRT: POLYESTER/COTTON; PLATFORM: POLYPROPYLENE</t>
  </si>
  <si>
    <t>679610822618</t>
  </si>
  <si>
    <t>Hallmart Collectibles Ambrosia 3-Pc. Reversible Full Aqua FullQueen</t>
  </si>
  <si>
    <t>807882531031</t>
  </si>
  <si>
    <t>THRO Grace Thankful 14 x 24 Decor Natural Gold 14x24</t>
  </si>
  <si>
    <t>TH022416001MDS</t>
  </si>
  <si>
    <t>814760023595</t>
  </si>
  <si>
    <t>ienjoy Home Home Collection Premium Pleate White Full</t>
  </si>
  <si>
    <t>BDSKSLDFIENJ</t>
  </si>
  <si>
    <t>732996957937</t>
  </si>
  <si>
    <t>Charter Club Cozy Plush Wrap 50 x 70 Thro Grey Plaid Throw</t>
  </si>
  <si>
    <t>32281252137</t>
  </si>
  <si>
    <t>Disney Princess Dream Big 2pk Squishy Disney Princess</t>
  </si>
  <si>
    <t>JF25213</t>
  </si>
  <si>
    <t>706255871722</t>
  </si>
  <si>
    <t>Martha Stewart Collection Quick Dry Reversible Hand Towe Platinum Gray Hand Towels</t>
  </si>
  <si>
    <t>MSQDRHPG</t>
  </si>
  <si>
    <t>800298716641</t>
  </si>
  <si>
    <t>Donna Karan Donna Karan Collection Silk In Gray King</t>
  </si>
  <si>
    <t>2OC001052KDMS</t>
  </si>
  <si>
    <t>733001363088</t>
  </si>
  <si>
    <t>Martha Stewart Collection LAST ACT Medallion Tufted Vel Ivory KingCalifornia King</t>
  </si>
  <si>
    <t>734737637450</t>
  </si>
  <si>
    <t>Fairfield Square Collection Aspen T1000 CVC Queen sheet se Blue Queen</t>
  </si>
  <si>
    <t>29927568998</t>
  </si>
  <si>
    <t>Scott Living Celeste 52 x 63 Textured Lin Gray 52x63</t>
  </si>
  <si>
    <t>846339072017</t>
  </si>
  <si>
    <t>J Queen New York La Scala King Comforter Set Gold King</t>
  </si>
  <si>
    <t>2141030KCS</t>
  </si>
  <si>
    <t>96675615342</t>
  </si>
  <si>
    <t>SensorGel Sensor Gel Smart Zone 3-Inch Q White King</t>
  </si>
  <si>
    <t>25695990702</t>
  </si>
  <si>
    <t>NEW WARMER F/Q</t>
  </si>
  <si>
    <t>HOLLANDER SLEEP PRODUCTS LLC</t>
  </si>
  <si>
    <t>COVER: COTTON; FILL: DOWN</t>
  </si>
  <si>
    <t>732998111658</t>
  </si>
  <si>
    <t>Hotel Collection Hotel Collection Classic Seren Blue King</t>
  </si>
  <si>
    <t>100089734KG</t>
  </si>
  <si>
    <t>"SHELL: 100% COTTON EXCLUSIVE OF DECORATION FILL: 100% POLYESTER"</t>
  </si>
  <si>
    <t>86569288448</t>
  </si>
  <si>
    <t>Madison Park Essentials Essentials Jordan 24-Pc. Queen Navy Queen</t>
  </si>
  <si>
    <t>MPE10-833</t>
  </si>
  <si>
    <t>96675611344</t>
  </si>
  <si>
    <t>SensorGel Sensor Gel SlumberMax Hybrid 4 White King</t>
  </si>
  <si>
    <t>706255007077</t>
  </si>
  <si>
    <t>DBL DIA Q STD SH MN BASIC</t>
  </si>
  <si>
    <t>DBE29KC790</t>
  </si>
  <si>
    <t>HUDSON PARK COLLECTION-BLM</t>
  </si>
  <si>
    <t>SHELL:COTTON;FILL:POLYESTER</t>
  </si>
  <si>
    <t>726895380071</t>
  </si>
  <si>
    <t>Hotel Collection Plume FullQueen Duvet Cover White FullQueen</t>
  </si>
  <si>
    <t>1001515FQ</t>
  </si>
  <si>
    <t>POLYESTER/COTTON</t>
  </si>
  <si>
    <t>732999361472</t>
  </si>
  <si>
    <t>Charter Club Sleep Luxe King Duvet Set, Cre White King</t>
  </si>
  <si>
    <t>100088673KG</t>
  </si>
  <si>
    <t>815584029190</t>
  </si>
  <si>
    <t>FLAIR FIRM KG</t>
  </si>
  <si>
    <t>BMI-19138L-FK</t>
  </si>
  <si>
    <t>ALLIED HOME LLC</t>
  </si>
  <si>
    <t>100% COTTON COVER; FILL: DOWN</t>
  </si>
  <si>
    <t>675716822231</t>
  </si>
  <si>
    <t>INKIVY Alpine Cotton Reversible King Aqua King</t>
  </si>
  <si>
    <t>II12-784</t>
  </si>
  <si>
    <t>INK &amp; IVY/JLA HOME/E &amp; E CO LTD</t>
  </si>
  <si>
    <t>COTTON; THREAD COUNT: 200</t>
  </si>
  <si>
    <t>728455615234</t>
  </si>
  <si>
    <t>LIBERO BASIC</t>
  </si>
  <si>
    <t>D001QPILSWH</t>
  </si>
  <si>
    <t>MATOUK/JOHN MATOUK AND CO INC CONS</t>
  </si>
  <si>
    <t>MADE IN LIECHTENSTEIN</t>
  </si>
  <si>
    <t>COVER: 100% COTTON PERCALE; FILL: 100% POLYESTER</t>
  </si>
  <si>
    <t>25695914272</t>
  </si>
  <si>
    <t>MY SIG DOWN ALT LIGHT/MIBASIC</t>
  </si>
  <si>
    <t>COVER: COTTON; FILL: POLYESTER</t>
  </si>
  <si>
    <t>32281230043</t>
  </si>
  <si>
    <t>Disney Frozen 2 Sparkle 6pc Twin Bed Multi Twin</t>
  </si>
  <si>
    <t>JF23004</t>
  </si>
  <si>
    <t>706254838870</t>
  </si>
  <si>
    <t>Martha Stewart Collection Seersucker 3-Pc. FullQueen Co White FullQueen</t>
  </si>
  <si>
    <t>732997680988</t>
  </si>
  <si>
    <t>Hotel Collection Hotel Collection 1000 Thread C White Queen</t>
  </si>
  <si>
    <t>100013566QN</t>
  </si>
  <si>
    <t>HOTEL BY C CLUB-EDI/RWI/VTX</t>
  </si>
  <si>
    <t>733001041665</t>
  </si>
  <si>
    <t>SHADOW FLORAL TW DVT</t>
  </si>
  <si>
    <t>100095275TW</t>
  </si>
  <si>
    <t>646998692652</t>
  </si>
  <si>
    <t>Martha Stewart Collection Martha Stewart Lucca Velvet 50 Linen 50x84</t>
  </si>
  <si>
    <t>1-20120GLE</t>
  </si>
  <si>
    <t>732999172610</t>
  </si>
  <si>
    <t>Charter Club Damask Designs Woven Leaves Co White Twin</t>
  </si>
  <si>
    <t>100078678TW</t>
  </si>
  <si>
    <t>733001041214</t>
  </si>
  <si>
    <t>Martha Stewart Collection Printed Cotton Flannel 4-Pc. Q Fair Isle Queen</t>
  </si>
  <si>
    <t>100094883QN</t>
  </si>
  <si>
    <t>750105159423</t>
  </si>
  <si>
    <t>LUXE DOWN ALT M S/Q</t>
  </si>
  <si>
    <t>BLOP0660WS</t>
  </si>
  <si>
    <t>784008134072</t>
  </si>
  <si>
    <t>Ella Jayne Memory Fiber Pillow 100 Cotto White King</t>
  </si>
  <si>
    <t>BMI11696L1K</t>
  </si>
  <si>
    <t>SHELL: 100% COTTON, SATEEN, CORD: COOL GRAY SATIN., FILL: 100% MEMORY FIBER FILL</t>
  </si>
  <si>
    <t>732998897729</t>
  </si>
  <si>
    <t>Charter Club Damask Designs Jacobean Cotton Smoke FullQueen</t>
  </si>
  <si>
    <t>100079948FQ</t>
  </si>
  <si>
    <t>816651021932</t>
  </si>
  <si>
    <t>ienjoy Home Elegant Designs Patterned Duve Aqua Vines KingCalifornia King</t>
  </si>
  <si>
    <t>DUVVINEKIENJ</t>
  </si>
  <si>
    <t>733001040477</t>
  </si>
  <si>
    <t>Martha Stewart Collection 100 Cotton Flannel 4-Pc. Full Cloud Full</t>
  </si>
  <si>
    <t>100020869FL</t>
  </si>
  <si>
    <t>734737635074</t>
  </si>
  <si>
    <t>Sunham T500 CVC Printed Queen Sheet S Blush leaves Queen</t>
  </si>
  <si>
    <t>816651022755</t>
  </si>
  <si>
    <t>ienjoy Home The Timeless Classics by Home Aqua Soft Vines Full</t>
  </si>
  <si>
    <t>4PVINEFIENJ</t>
  </si>
  <si>
    <t>732996468143</t>
  </si>
  <si>
    <t>Hotel Collection Classic Roseblush 12 x 20 De Blush</t>
  </si>
  <si>
    <t>COTTON; FILLING: POLYESTER</t>
  </si>
  <si>
    <t>875647008005</t>
  </si>
  <si>
    <t>MY DREAMWEAVE PW STD</t>
  </si>
  <si>
    <t>BMI8969L2</t>
  </si>
  <si>
    <t>COVER: POLYESTER/NYLON; FILL: POLYESTER</t>
  </si>
  <si>
    <t>29927558241</t>
  </si>
  <si>
    <t>No. 918 Bristol Coffee Shop 54 x 36 Ivory 54x36</t>
  </si>
  <si>
    <t>91116694399</t>
  </si>
  <si>
    <t>Jessica Sanders Solid Microfiber Full Sheet Se Flint Grey Full</t>
  </si>
  <si>
    <t>SM3SSF</t>
  </si>
  <si>
    <t>812091033351</t>
  </si>
  <si>
    <t>Muk Luks Muk Luks Super Soft Teddy Sher Blue Child</t>
  </si>
  <si>
    <t>MLBLBS</t>
  </si>
  <si>
    <t>29927201277</t>
  </si>
  <si>
    <t>No. 918 No. 918 Sheer Voile 59 x 95 White 59x95</t>
  </si>
  <si>
    <t>732997431504</t>
  </si>
  <si>
    <t>Home Design StandardQueen 2-Pc. Satin Pil White Standard</t>
  </si>
  <si>
    <t>100081741SQ</t>
  </si>
  <si>
    <t>HOME DESIGN-EDI/JLA HOME</t>
  </si>
  <si>
    <t>813538020927</t>
  </si>
  <si>
    <t>SLD 6PC QN GO</t>
  </si>
  <si>
    <t>IEH-6PC-QUEEN-GO</t>
  </si>
  <si>
    <t>DEFAULT VENDOR</t>
  </si>
  <si>
    <t>96675612242</t>
  </si>
  <si>
    <t>SensorGel Sensor Gel Arctic 3-Inch Memor White King</t>
  </si>
  <si>
    <t>193842114070</t>
  </si>
  <si>
    <t>J Queen New York J Queen New York Camellia Quee Rust Queen</t>
  </si>
  <si>
    <t>2622075QCS</t>
  </si>
  <si>
    <t>612621103956</t>
  </si>
  <si>
    <t>ALTA KING BLANKET</t>
  </si>
  <si>
    <t>ALT-K PEA</t>
  </si>
  <si>
    <t>SPECIAL BED-B</t>
  </si>
  <si>
    <t>PEACOCK ALLEY - CONSIGNMENT</t>
  </si>
  <si>
    <t>COTTON/ACRYLIC</t>
  </si>
  <si>
    <t>733001466529</t>
  </si>
  <si>
    <t>Hotel Collection Platinum FullQueen Down Comfo White FullQueen</t>
  </si>
  <si>
    <t>100106171QN</t>
  </si>
  <si>
    <t>857525008376</t>
  </si>
  <si>
    <t>Pillow Guy Classic Cool Crisp 100 Cott Dark Navy Queen</t>
  </si>
  <si>
    <t>PG-PCSS-DN-Q</t>
  </si>
  <si>
    <t>QNJUMBOFIT</t>
  </si>
  <si>
    <t>732997906453</t>
  </si>
  <si>
    <t>Hotel Collection Hotel Collection Terra FullQu Grey FullQueen</t>
  </si>
  <si>
    <t>100070643QN</t>
  </si>
  <si>
    <t>732999612895</t>
  </si>
  <si>
    <t>Lucky Brand Baja Stripe Quilted 230-Thread Ivory FullQueen</t>
  </si>
  <si>
    <t>100078880FQ</t>
  </si>
  <si>
    <t>706258633556</t>
  </si>
  <si>
    <t>Charter Club Damask Designs Diamond Dot 300 White King</t>
  </si>
  <si>
    <t>DCF3KGDOTW</t>
  </si>
  <si>
    <t>693614014848</t>
  </si>
  <si>
    <t>Ella Jayne 100 Cotton Percale 3 Piece Du White FullQueen</t>
  </si>
  <si>
    <t>EJHDUVETSTWH2</t>
  </si>
  <si>
    <t>96675611313</t>
  </si>
  <si>
    <t>SensorGel Sensor Gel SlumberMax Hybrid 4 White Twin</t>
  </si>
  <si>
    <t>841230018072</t>
  </si>
  <si>
    <t>Tempur-Pedic Adaptive Comfort Memory Foam P White Standard</t>
  </si>
  <si>
    <t>TEMPUR-PEDIC NORTH AMERICA INC</t>
  </si>
  <si>
    <t>COVER TOP: POLYESTER/POLYPROPYLENE; FILL: VISCOELASTIC POLYURETHANE FOAM</t>
  </si>
  <si>
    <t>732996347707</t>
  </si>
  <si>
    <t>Martha Stewart Collection Winter Floral 3-Pc. FullQueen Blue FullQueen</t>
  </si>
  <si>
    <t>100057467FQ</t>
  </si>
  <si>
    <t>FABRIC: COTTON; FILL: POLYESTER</t>
  </si>
  <si>
    <t>706254099202</t>
  </si>
  <si>
    <t>Charter Club Damask Designs Wovenblock Cott Sorbet Queen</t>
  </si>
  <si>
    <t>100023143QN</t>
  </si>
  <si>
    <t>732999755714</t>
  </si>
  <si>
    <t>Martha Stewart Collection Reversible 3-Pc. Crushed Velve Grey FullQueen</t>
  </si>
  <si>
    <t>100104075FQ</t>
  </si>
  <si>
    <t>706258089155</t>
  </si>
  <si>
    <t>Charter Club Damask Stripe Supima Cotton 55 Granite Dark Grey Queen</t>
  </si>
  <si>
    <t>DLDSTQNSGRA</t>
  </si>
  <si>
    <t>608381351133</t>
  </si>
  <si>
    <t>CST4QNSS</t>
  </si>
  <si>
    <t>608381352079</t>
  </si>
  <si>
    <t>Joseph &amp; Lyman Twill Shorts</t>
  </si>
  <si>
    <t>WTE4QNSS</t>
  </si>
  <si>
    <t>815584029138</t>
  </si>
  <si>
    <t>FLAIR SOFT KG</t>
  </si>
  <si>
    <t>BMI-18676L-SK</t>
  </si>
  <si>
    <t>784008134782</t>
  </si>
  <si>
    <t>Ella Jayne 2 Pack Cool N Comfort Gel Fib Blue King</t>
  </si>
  <si>
    <t>BMI13851L3</t>
  </si>
  <si>
    <t>POLYESTER, COOLMAX</t>
  </si>
  <si>
    <t>728455541229</t>
  </si>
  <si>
    <t>M008STOWSM</t>
  </si>
  <si>
    <t>689439138753</t>
  </si>
  <si>
    <t>Hotel Collection His or Hers Robe HERS SM</t>
  </si>
  <si>
    <t>HTLHERRB</t>
  </si>
  <si>
    <t>TURKISH COTTON; EMBROIDERY: POLYESTER</t>
  </si>
  <si>
    <t>815584028483</t>
  </si>
  <si>
    <t>NEW ULTIMATE PROT MP QN</t>
  </si>
  <si>
    <t>MP001913D</t>
  </si>
  <si>
    <t>TOP: 100% COTTON; BOTTOM &amp; SKIRT: 100% POLYESTER</t>
  </si>
  <si>
    <t>726895696370</t>
  </si>
  <si>
    <t>Hotel Collection Voile King Sham Grey King Sham</t>
  </si>
  <si>
    <t>100024682KG</t>
  </si>
  <si>
    <t>191790024441</t>
  </si>
  <si>
    <t>Fairfield Square Collection Brookline 1400-Thread Count 6- Seaglass Queen</t>
  </si>
  <si>
    <t>23302103412AQT</t>
  </si>
  <si>
    <t>735732109317</t>
  </si>
  <si>
    <t>VCNY Home VCNY Home Dublin Cable Knit Th White Throw</t>
  </si>
  <si>
    <t>DUI-THR-5070-BB-WHIT</t>
  </si>
  <si>
    <t>883893487635</t>
  </si>
  <si>
    <t>Azalea Skye Greca Borders Beige Duvet Set, Open Mediu King</t>
  </si>
  <si>
    <t>AZALEA SKYE/REVMAN INTERNATIONAL</t>
  </si>
  <si>
    <t>733001040590</t>
  </si>
  <si>
    <t>Martha Stewart Collection 100 Cotton Flannel 4-Pc. Quee Cloud Queen</t>
  </si>
  <si>
    <t>29927480191</t>
  </si>
  <si>
    <t>Sun Zero Ena Grommet Room Darkening 100 Stone 100x84</t>
  </si>
  <si>
    <t>814945026458</t>
  </si>
  <si>
    <t>De Moocci Mongolian Textured Faux Fur Th Pink</t>
  </si>
  <si>
    <t>1708FF-MON-PNK</t>
  </si>
  <si>
    <t>728455317190</t>
  </si>
  <si>
    <t>Matouk Milagro Bath Towel Sterling</t>
  </si>
  <si>
    <t>T320BTOWST</t>
  </si>
  <si>
    <t>810031411634</t>
  </si>
  <si>
    <t>Happycare Textiles Happycare Textiles Rustic Styl Orange NO SIZE</t>
  </si>
  <si>
    <t>BTL17097</t>
  </si>
  <si>
    <t>100% ACRYLIC</t>
  </si>
  <si>
    <t>610406821361</t>
  </si>
  <si>
    <t>Homey Cozy Homey Cozy Flamingo Square Dec Multi 20x20</t>
  </si>
  <si>
    <t>BRNOVERFLW</t>
  </si>
  <si>
    <t>HOME ACCENT PILLOW INC</t>
  </si>
  <si>
    <t>POLYESTER VELVET</t>
  </si>
  <si>
    <t>732996342320</t>
  </si>
  <si>
    <t>Martha Stewart Collection Velvet Euro Decorative Pillow Gray European</t>
  </si>
  <si>
    <t>766360125783</t>
  </si>
  <si>
    <t>HP TURKISH SHEET BASIC</t>
  </si>
  <si>
    <t>HPTURFBMO</t>
  </si>
  <si>
    <t>HUDSON PARK</t>
  </si>
  <si>
    <t>MADE IN TURKEY</t>
  </si>
  <si>
    <t>100% TURKISH COTTON</t>
  </si>
  <si>
    <t>746885414678</t>
  </si>
  <si>
    <t>Windham Weavers Dalton 50 x 84 Curtain Panel Blush 50x84</t>
  </si>
  <si>
    <t>MC00X76808184</t>
  </si>
  <si>
    <t>NATCO/WINDHAM WEAVE/WINDHAM TRADING</t>
  </si>
  <si>
    <t>735837576380</t>
  </si>
  <si>
    <t>Martha Stewart Collection Martha Stewart Essentials Reve White TwinTwin XL</t>
  </si>
  <si>
    <t>10012459TW</t>
  </si>
  <si>
    <t>86569263377</t>
  </si>
  <si>
    <t>JLA Home Decor Studio Victoria 72 x 72 Burgundy 72X72</t>
  </si>
  <si>
    <t>MCH70-1493</t>
  </si>
  <si>
    <t>733001362357</t>
  </si>
  <si>
    <t>Martha Stewart Collection Tufted Plaid Quilted King Sham Gray King Sham</t>
  </si>
  <si>
    <t>100104029KS</t>
  </si>
  <si>
    <t>706255888898</t>
  </si>
  <si>
    <t>Hotel Collection Turkish 20 x 34 Bath Rug Ivory 20 x 34</t>
  </si>
  <si>
    <t>HTRKSH2X3IV</t>
  </si>
  <si>
    <t>29927566918</t>
  </si>
  <si>
    <t>Sun Zero Cyrus 40 x 84 Thermal Blacko White 40x84</t>
  </si>
  <si>
    <t>732998368618</t>
  </si>
  <si>
    <t>Martha Stewart Collection Sherpa Throw Purple Throw</t>
  </si>
  <si>
    <t>MMG-MARTHA STEWART-EDI/RWI/PEM AMER</t>
  </si>
  <si>
    <t>29927480870</t>
  </si>
  <si>
    <t>Sun Zero Sun Zero Preston 40 x 95 Gro Taupe 40x95</t>
  </si>
  <si>
    <t>29927480863</t>
  </si>
  <si>
    <t>Sun Zero Sun Zero Preston 40 x 95 Gro Stone 40x95</t>
  </si>
  <si>
    <t>728455317329</t>
  </si>
  <si>
    <t>Matouk Milagro Hand Towel Sterling</t>
  </si>
  <si>
    <t>T320HTOWST</t>
  </si>
  <si>
    <t>76389296488</t>
  </si>
  <si>
    <t>CHF Battenburg 30 x 36 Cafe Cur White 30x36</t>
  </si>
  <si>
    <t>1-428603WT</t>
  </si>
  <si>
    <t>TRCTN82X54</t>
  </si>
  <si>
    <t>732994072649</t>
  </si>
  <si>
    <t>Martha Stewart Collection Feels Like Down StandardQueen White Standard</t>
  </si>
  <si>
    <t>10029644QN</t>
  </si>
  <si>
    <t>706254463010</t>
  </si>
  <si>
    <t>Hotel Collection Ultimate MicroCotton 30 x 5 Chocolate Bath Towels</t>
  </si>
  <si>
    <t>HTLMCBCHC</t>
  </si>
  <si>
    <t>706254462983</t>
  </si>
  <si>
    <t>Hotel Collection Ultimate MicroCotton 30 x 5 Ivory Bath Towels</t>
  </si>
  <si>
    <t>HTLMCBIVR</t>
  </si>
  <si>
    <t>732998216070</t>
  </si>
  <si>
    <t>Charter Club Damask Supima Cotton 550-Threa Neo Natural Standard Pillowcases</t>
  </si>
  <si>
    <t>DLLSLSPCNAT</t>
  </si>
  <si>
    <t>726895579574</t>
  </si>
  <si>
    <t>Martha Stewart Collection Solid Open Stock 400-Thread Co Cloud White Standard</t>
  </si>
  <si>
    <t>10021053SP</t>
  </si>
  <si>
    <t>46249646852</t>
  </si>
  <si>
    <t>Tommy Hilfiger Modern American 30 x 54 Cott Steel Grey Bath Towels</t>
  </si>
  <si>
    <t>27T0465-BT-S1-D1</t>
  </si>
  <si>
    <t>706257490402</t>
  </si>
  <si>
    <t>Martha Stewart Collection Spa Bath Towel Sea Spray Bath Towels</t>
  </si>
  <si>
    <t>MSPLSHBSPR</t>
  </si>
  <si>
    <t>728455317411</t>
  </si>
  <si>
    <t>Matouk Milagro Washcloth Sterling</t>
  </si>
  <si>
    <t>T320WTOWST</t>
  </si>
  <si>
    <t>732994993913</t>
  </si>
  <si>
    <t>Charter Club Plaid Cotton 16 x 30 Hand To Smoke Hand Towels</t>
  </si>
  <si>
    <t>46249646623</t>
  </si>
  <si>
    <t>Tommy Hilfiger Modern American 16 x 26 Cott Green Hand Towels</t>
  </si>
  <si>
    <t>27T0465-HD-B1-D1</t>
  </si>
  <si>
    <t>46249646630</t>
  </si>
  <si>
    <t>Tommy Hilfiger Modern American 13 x 13 Cott Green Washcloths</t>
  </si>
  <si>
    <t>27T0465-WA-B1-D1</t>
  </si>
  <si>
    <t>191790043879</t>
  </si>
  <si>
    <t>WHT T800 COT QN</t>
  </si>
  <si>
    <t>25892103001AQT</t>
  </si>
  <si>
    <t>800298673425</t>
  </si>
  <si>
    <t>DKC RADIANCE QUILT</t>
  </si>
  <si>
    <t>RAD100010QTG</t>
  </si>
  <si>
    <t>COVER: 100% POLYESTER; FILL: 100% POLYESTER</t>
  </si>
  <si>
    <t>735837574171</t>
  </si>
  <si>
    <t>Hotel Collection European White Goose Down Medi White FullQueen</t>
  </si>
  <si>
    <t>HWGDQM05</t>
  </si>
  <si>
    <t>734737623248</t>
  </si>
  <si>
    <t>Sunham JeTaime 14-Pc. California Kin Natural California King</t>
  </si>
  <si>
    <t>MACHINE WASHABLE 100% POLYESTER</t>
  </si>
  <si>
    <t>46249660186</t>
  </si>
  <si>
    <t>Tommy Hilfiger Tommy Hilfiger 3 Piece Heritag Gray FullQueen</t>
  </si>
  <si>
    <t>17T0868-FQ-G1-D1</t>
  </si>
  <si>
    <t>732994723701</t>
  </si>
  <si>
    <t>Charter Club Damask Designs Seersucker 150- White Grey King</t>
  </si>
  <si>
    <t>100023822KG</t>
  </si>
  <si>
    <t>FABRIC: COTTON; THREAD COUNT: 150; POLYESTER FILL (COMFORTER)</t>
  </si>
  <si>
    <t>883893452343</t>
  </si>
  <si>
    <t>Azalea Skye Moroccan Nights Red Comforter Medium Beige FullQueen</t>
  </si>
  <si>
    <t>732998795650</t>
  </si>
  <si>
    <t>Martha Stewart Collection Percale Gray Plaid Reversible Grey FullQueen</t>
  </si>
  <si>
    <t>100079424FQ</t>
  </si>
  <si>
    <t>191790028845</t>
  </si>
  <si>
    <t>Fairfield Square Collection Hampton Cotton 650-Thread Coun Blue Queen</t>
  </si>
  <si>
    <t>24002103002AQT</t>
  </si>
  <si>
    <t>733001039495</t>
  </si>
  <si>
    <t>Martha Stewart Collection Buffalo Plaid Flannel King Duv Buffalo Plaid King</t>
  </si>
  <si>
    <t>100069787KG</t>
  </si>
  <si>
    <t>FABRIC: COTTON 185 GRAMS PER SQUARE METER</t>
  </si>
  <si>
    <t>191790024403</t>
  </si>
  <si>
    <t>Fairfield Square Collection Brookline 1400-Thread Count 6- Light Grey Queen</t>
  </si>
  <si>
    <t>23302103200AQT</t>
  </si>
  <si>
    <t>657812144561</t>
  </si>
  <si>
    <t>Biddeford Biddeford Quilted Sherpa Rever White Twin</t>
  </si>
  <si>
    <t>5500-5051168-100</t>
  </si>
  <si>
    <t>848971055274</t>
  </si>
  <si>
    <t>Brookside Down Alternative Quilted Comfo White King</t>
  </si>
  <si>
    <t>BS70KKMICO</t>
  </si>
  <si>
    <t>735837086346</t>
  </si>
  <si>
    <t>Hotel Collection Step Up Down-Alternative Firm- White King</t>
  </si>
  <si>
    <t>HDAFK907</t>
  </si>
  <si>
    <t>SHELL: 100% COTTON WOVEN JACQUARD/POLYESTER; FILL: DOWN-ALTERNATIVE FIBER</t>
  </si>
  <si>
    <t>26865854145</t>
  </si>
  <si>
    <t>Elrene Elrene All Seasons Faux Silk 5 Rouge 52x108</t>
  </si>
  <si>
    <t>17789ROU</t>
  </si>
  <si>
    <t>706258091196</t>
  </si>
  <si>
    <t>Charter Club Damask Stripe Supima Cotton 55 Lemonade Yellow Twin</t>
  </si>
  <si>
    <t>DLLSTTWSLEM</t>
  </si>
  <si>
    <t>635983499482</t>
  </si>
  <si>
    <t>Ella Jayne Overstuffed Plush MediumFirm White Queen</t>
  </si>
  <si>
    <t>BMI10321LQ</t>
  </si>
  <si>
    <t>SHELL: 220 THREAD COUNT POLYESTER MICROFIBER, FILL: 100% DOWN ALTERNATIVE FINE GEL FIBERS</t>
  </si>
  <si>
    <t>734737422933</t>
  </si>
  <si>
    <t>Fairfield Square Collection Austin 8-Pc. Reversible Comfor Red Twin</t>
  </si>
  <si>
    <t>15977029V</t>
  </si>
  <si>
    <t>848336038676</t>
  </si>
  <si>
    <t>Levtex Levtex Home You Are My Sunshin White 20x20</t>
  </si>
  <si>
    <t>L2500P-G</t>
  </si>
  <si>
    <t>848336006095</t>
  </si>
  <si>
    <t>Levtex Levtex Home Ashbury Spring Bir Cream</t>
  </si>
  <si>
    <t>P25700G</t>
  </si>
  <si>
    <t>42075551858</t>
  </si>
  <si>
    <t>Peri Home Cut Geo Cotton Standard Sham Grey Standard Sham</t>
  </si>
  <si>
    <t>2-21010SGY</t>
  </si>
  <si>
    <t>735732824593</t>
  </si>
  <si>
    <t>VCNY Home Indigo Stripe Reversible Duvet Blue Twin XL</t>
  </si>
  <si>
    <t>ISP-2DV-TWXT-IN-BLUE</t>
  </si>
  <si>
    <t>91116725628</t>
  </si>
  <si>
    <t>Sanders Holiday Microfiber 5 Piece Que Christmas Truck Queen</t>
  </si>
  <si>
    <t>HDYSS4Q</t>
  </si>
  <si>
    <t>784857883343</t>
  </si>
  <si>
    <t>Idea Nuova Coleman Cotton 2-Pc. Hotel Bor Aqua No Size</t>
  </si>
  <si>
    <t>K698231</t>
  </si>
  <si>
    <t>IDEA NUOVA INC</t>
  </si>
  <si>
    <t>29927565096</t>
  </si>
  <si>
    <t>No. 918 No. 918 Delia 50 x 63 Embroi White 50x63</t>
  </si>
  <si>
    <t>42694347238</t>
  </si>
  <si>
    <t>Charter Club Classic Bath Rug Black 21 x 34</t>
  </si>
  <si>
    <t>CSOLD2X3BL</t>
  </si>
  <si>
    <t>CHARTER CLUB-MMG</t>
  </si>
  <si>
    <t>NYLON; BACK: LATEX</t>
  </si>
  <si>
    <t>91116718941</t>
  </si>
  <si>
    <t>Sanders Printed Microfiber Full Sheet Paris Full</t>
  </si>
  <si>
    <t>732998768241</t>
  </si>
  <si>
    <t>Home Design Cotton 13 x 13 Wash Towel Dove Washcloths</t>
  </si>
  <si>
    <t>193842104804</t>
  </si>
  <si>
    <t>J Queen New York Jqueen Cracked Ice King 4 Pie Taupe King</t>
  </si>
  <si>
    <t>2494066KCS</t>
  </si>
  <si>
    <t>750105134444</t>
  </si>
  <si>
    <t>Charter Club European White Down Heavyweigh White King</t>
  </si>
  <si>
    <t>FEDC0830WK</t>
  </si>
  <si>
    <t>840053024291</t>
  </si>
  <si>
    <t>Better Trends Rio King Bedspread Blue</t>
  </si>
  <si>
    <t>SS-BSRKIBL</t>
  </si>
  <si>
    <t>BETTER TRENDS LLC</t>
  </si>
  <si>
    <t>675716810870</t>
  </si>
  <si>
    <t>Madison Park Sabrina 4-Pc. KingCalifornia White KingCalifornia King</t>
  </si>
  <si>
    <t>MP10-3323</t>
  </si>
  <si>
    <t>COMFORTER/SHAM/PILLOW: COTTON; COMFORTER FILL: POLYESTER; PILLOW FILL: POLYESTER</t>
  </si>
  <si>
    <t>883893577510</t>
  </si>
  <si>
    <t>Marimekko Rosarium Duvet Cover Set, Full Medium Pink FullQueen</t>
  </si>
  <si>
    <t>USHSFN1078041</t>
  </si>
  <si>
    <t>MARIMEKKO/REVMAN INTERNATIONAL</t>
  </si>
  <si>
    <t>732997843833</t>
  </si>
  <si>
    <t>Martha Stewart Collection Martha Stewart Collection Chat Blue Queen</t>
  </si>
  <si>
    <t>100064100QN</t>
  </si>
  <si>
    <t>COMFORTER SHELL AND FILL: POLYESTER; SHEET SET: COTTON/POLYESTER</t>
  </si>
  <si>
    <t>705004422918</t>
  </si>
  <si>
    <t>TOWEL WARMER WHITE</t>
  </si>
  <si>
    <t>TWB01</t>
  </si>
  <si>
    <t>ZADRO PRODUCTS</t>
  </si>
  <si>
    <t>PLASTIC/METAL</t>
  </si>
  <si>
    <t>850335004958</t>
  </si>
  <si>
    <t>Linum Home Unisex Herringbone Weave Bath White SM</t>
  </si>
  <si>
    <t>HERRINGBONE-ROBE</t>
  </si>
  <si>
    <t>732997856208</t>
  </si>
  <si>
    <t>Martha Stewart Collection Quilted Embroidered Floral Que Blue Full</t>
  </si>
  <si>
    <t>100070852QN</t>
  </si>
  <si>
    <t>657812144585</t>
  </si>
  <si>
    <t>Biddeford Biddeford Quilted Sherpa Rever White Queen</t>
  </si>
  <si>
    <t>5502-5051168-100</t>
  </si>
  <si>
    <t>POLYESTER; QUILTED: COTTON/POLYESTER</t>
  </si>
  <si>
    <t>86569349217</t>
  </si>
  <si>
    <t>Addison Park Bennett grey Cal King 9pc Comf Grey California King</t>
  </si>
  <si>
    <t>MCH10-1703</t>
  </si>
  <si>
    <t>86569279651</t>
  </si>
  <si>
    <t>Addison Park Aubrey Navy King 9pc comforter Navy King</t>
  </si>
  <si>
    <t>MCH10-1565</t>
  </si>
  <si>
    <t>86569432445</t>
  </si>
  <si>
    <t>JLA Home Durham 9-Pc. Queen Comforter S Ivory Queen</t>
  </si>
  <si>
    <t>MCH10-2187</t>
  </si>
  <si>
    <t>706258089070</t>
  </si>
  <si>
    <t>Charter Club Damask Stripe Supima Cotton 55 Navy King</t>
  </si>
  <si>
    <t>DLDSTKGSNVY</t>
  </si>
  <si>
    <t>734737581661</t>
  </si>
  <si>
    <t>Sunham Gingham 8-Pc. Reversible Calif Gray California King</t>
  </si>
  <si>
    <t>788904113353</t>
  </si>
  <si>
    <t>Royal Luxe White Goose 240-Thread Count K White King</t>
  </si>
  <si>
    <t>DOWN FILL</t>
  </si>
  <si>
    <t>732999620111</t>
  </si>
  <si>
    <t>Martha Stewart Collection Allergy Wise Dobby Stripe Full White FullQueen</t>
  </si>
  <si>
    <t>100105527FQ</t>
  </si>
  <si>
    <t>MMG-MARTHA STEWART/KEECO LLC</t>
  </si>
  <si>
    <t>840008316846</t>
  </si>
  <si>
    <t>Lucid 3 Convoluted Gel Topper, Twin Blue Twin</t>
  </si>
  <si>
    <t>DC30TT30CSGT</t>
  </si>
  <si>
    <t>MEMORY FOAM</t>
  </si>
  <si>
    <t>733001040552</t>
  </si>
  <si>
    <t>Martha Stewart Collection 100 Cotton Flannel 4-Pc. King Eclipse King</t>
  </si>
  <si>
    <t>100020869KG</t>
  </si>
  <si>
    <t>734737607880</t>
  </si>
  <si>
    <t>Lacoste Home Lacoste Percale Pale Aqua Soli Pale Aqua Queen</t>
  </si>
  <si>
    <t>679610829327</t>
  </si>
  <si>
    <t>Hallmart Collectibles Filson 7-Pc. King Comforter Se Graytaupewhite King</t>
  </si>
  <si>
    <t>671826921451</t>
  </si>
  <si>
    <t>Siscovers Siscovers Isabella Floral 20 Lt Beige</t>
  </si>
  <si>
    <t>ISAB-P20</t>
  </si>
  <si>
    <t>COTTON, LINEN</t>
  </si>
  <si>
    <t>194938008211</t>
  </si>
  <si>
    <t>Home Boutique CLOSEOUT 3-Piece Microfiber K Paris Floral King</t>
  </si>
  <si>
    <t>16T006508</t>
  </si>
  <si>
    <t>657812169748</t>
  </si>
  <si>
    <t>Biddeford Comfort Knit Fleece Electric T Grey Plaid Twin</t>
  </si>
  <si>
    <t>1000-9052277903</t>
  </si>
  <si>
    <t>732999837588</t>
  </si>
  <si>
    <t>Martha Stewart Collection Solid Faux Fur Throw Grey 50x60</t>
  </si>
  <si>
    <t>193842110720</t>
  </si>
  <si>
    <t>J Queen New York J Queen New York Angeline Squa Beige 20 x 20</t>
  </si>
  <si>
    <t>258710020SQ</t>
  </si>
  <si>
    <t>732997393987</t>
  </si>
  <si>
    <t>Hotel Collection Primaloft 450-Thread Count Med White King</t>
  </si>
  <si>
    <t>100083175KG</t>
  </si>
  <si>
    <t>840008335786</t>
  </si>
  <si>
    <t>CBD Sleep Botanically Infused Memory Foa White Standard</t>
  </si>
  <si>
    <t>CBSPSSMPVH</t>
  </si>
  <si>
    <t>POLYESTER MESH/MEMORY FOAM</t>
  </si>
  <si>
    <t>190714365240</t>
  </si>
  <si>
    <t>Lacourte Halsey European Pillow Set of Silver ONE SIZE</t>
  </si>
  <si>
    <t>1127162SIL26X26</t>
  </si>
  <si>
    <t>26X26</t>
  </si>
  <si>
    <t>657812152634</t>
  </si>
  <si>
    <t>Biddeford Quilted Electric Full Mattress White Twin</t>
  </si>
  <si>
    <t>5250-5032121-100</t>
  </si>
  <si>
    <t>COTTON/POLYESTER; FAUX FUR: POLYESTER</t>
  </si>
  <si>
    <t>734737635760</t>
  </si>
  <si>
    <t>Fairfield Square Collection P RICO mlti twin cs Indigo Twin</t>
  </si>
  <si>
    <t>875647008012</t>
  </si>
  <si>
    <t>MY DREAMWEAVE PW KIN</t>
  </si>
  <si>
    <t>BMI8969L4</t>
  </si>
  <si>
    <t>732997629338</t>
  </si>
  <si>
    <t>Charter Club Damask Designs Honeycomb 50 x Blue Throw</t>
  </si>
  <si>
    <t>735732488146</t>
  </si>
  <si>
    <t>VCNY Home A Time In Paris 4pc Quilt Set Gray King</t>
  </si>
  <si>
    <t>PAR-4QT-KING-MA-GRAY</t>
  </si>
  <si>
    <t>735732189876</t>
  </si>
  <si>
    <t>VCNY Home VCNY Home Casa Real Reversibl Multi FullQueen</t>
  </si>
  <si>
    <t>C10-5DV-FUQU-IN-MULT</t>
  </si>
  <si>
    <t>732999754311</t>
  </si>
  <si>
    <t>Martha Stewart Collection Tufted Crushed Velvet 24 Squa Blue</t>
  </si>
  <si>
    <t>782717561387</t>
  </si>
  <si>
    <t>Pure Care Luxury Microfiber Wrinkle Resi White Queen</t>
  </si>
  <si>
    <t>PCSMFPC-Q-WH</t>
  </si>
  <si>
    <t>FABRIC TECH 2000/PURECARE</t>
  </si>
  <si>
    <t>190714414153</t>
  </si>
  <si>
    <t>Lacourte Cameron 20 Square Decorative White 20x20</t>
  </si>
  <si>
    <t>1130495WHI20X20</t>
  </si>
  <si>
    <t>819254028179</t>
  </si>
  <si>
    <t>Sara B. Christmas Ornaments Sherpa Thr Multi 50x60</t>
  </si>
  <si>
    <t>SB101MUOS</t>
  </si>
  <si>
    <t>NEW SEGA HOME TEXTILES</t>
  </si>
  <si>
    <t>732998744955</t>
  </si>
  <si>
    <t>Martha Stewart Collection Sherpa Throw Coral Throw</t>
  </si>
  <si>
    <t>LT/PAS ORG</t>
  </si>
  <si>
    <t>732994993883</t>
  </si>
  <si>
    <t>Charter Club Plaid Cotton 30 x 56 Bath To Cornflower Blue Bath Towels</t>
  </si>
  <si>
    <t>25695992928</t>
  </si>
  <si>
    <t>Calvin Klein Monogram Logo Medium Support C White</t>
  </si>
  <si>
    <t>99292-5679</t>
  </si>
  <si>
    <t>732998000365</t>
  </si>
  <si>
    <t>Charter Club Down Alternative 300-Thread Co White Standard</t>
  </si>
  <si>
    <t>100086582SQ</t>
  </si>
  <si>
    <t>760028583175</t>
  </si>
  <si>
    <t>Simmons Soft Touch Pillow White</t>
  </si>
  <si>
    <t>27SIGMKE-10J</t>
  </si>
  <si>
    <t>846339047640</t>
  </si>
  <si>
    <t>J Queen New York Napoleon Gold King Comforter S Gold King</t>
  </si>
  <si>
    <t>1804030KCS</t>
  </si>
  <si>
    <t>83013274552</t>
  </si>
  <si>
    <t>Croscill Valentina Queen Comforter Set Navy Queen</t>
  </si>
  <si>
    <t>2A0-003C0-9018</t>
  </si>
  <si>
    <t>732999983827</t>
  </si>
  <si>
    <t>Hotel Collection Leaflet King Comforter Created Gold King</t>
  </si>
  <si>
    <t>100090175KG</t>
  </si>
  <si>
    <t>840008367411</t>
  </si>
  <si>
    <t>Dr. Oz Good Life Dr. Oz Good Life Straight to S White Queen</t>
  </si>
  <si>
    <t>OZGL30QQ2XFRBGT</t>
  </si>
  <si>
    <t>5060650970028</t>
  </si>
  <si>
    <t>NapGuru Luxurious 20 LBS Weighted Blan Gray Queen</t>
  </si>
  <si>
    <t>WH-FZY5-CM6K</t>
  </si>
  <si>
    <t>NAPGURU LLC</t>
  </si>
  <si>
    <t>86569390738</t>
  </si>
  <si>
    <t>Premier Comfort Premier Comfort Microlight Ele Dark Red Queen</t>
  </si>
  <si>
    <t>MCC54-2163</t>
  </si>
  <si>
    <t>732995871197</t>
  </si>
  <si>
    <t>Hotel Collection 680 Thread-Count King Duvet Co Rosebud King</t>
  </si>
  <si>
    <t>100051657KG</t>
  </si>
  <si>
    <t>689192618998</t>
  </si>
  <si>
    <t>Ella Jayne 20lb Reversible Anti-Anxiety W GreyWhite</t>
  </si>
  <si>
    <t>EJHCFWT-GW-S-20</t>
  </si>
  <si>
    <t>FRONT: MICROFIBER; REVERSE: MINKY; FILL: GLASS BEADS POLYESTER</t>
  </si>
  <si>
    <t>86569294814</t>
  </si>
  <si>
    <t>Madison Park Madison Park Morrison 5-Piece Taupe FullQueen</t>
  </si>
  <si>
    <t>MP10-6733</t>
  </si>
  <si>
    <t>193842103371</t>
  </si>
  <si>
    <t>J Queen New York Lauralynn Beige 84 Window Pan Beige 84 inches</t>
  </si>
  <si>
    <t>248110084PR</t>
  </si>
  <si>
    <t>679610813586</t>
  </si>
  <si>
    <t>Hallmart Collectibles Lillith 8-Pc. King Comforter a Lt Pink King</t>
  </si>
  <si>
    <t>FABRIC: POLYESTER (EXCLUSIVE OF DECORATION); POLYESTER FILL</t>
  </si>
  <si>
    <t>86569351869</t>
  </si>
  <si>
    <t>Mi Zone Mi Zone Lexi 4 Piece FullQuee Purple FullQueen</t>
  </si>
  <si>
    <t>MZ10-0610</t>
  </si>
  <si>
    <t>840970149558</t>
  </si>
  <si>
    <t>Cathay Home Inc. Ultimate Luxury Reversible Mic Navy King</t>
  </si>
  <si>
    <t>108267-NAV-K</t>
  </si>
  <si>
    <t>788904113346</t>
  </si>
  <si>
    <t>Royal Luxe White Goose 240-Thread Count F White FullQueen</t>
  </si>
  <si>
    <t>734737617285</t>
  </si>
  <si>
    <t>Sunham Fairfield Square Waverly Cotto Grey Geo King</t>
  </si>
  <si>
    <t>732999062775</t>
  </si>
  <si>
    <t>Martha Stewart Collection Pleated Tie Dye 2-Pc. TwinTwi Blue TwinTwin XL</t>
  </si>
  <si>
    <t>100087990TW</t>
  </si>
  <si>
    <t>191790024434</t>
  </si>
  <si>
    <t>Fairfield Square Collection Brookline 1400-Thread Count 6- Sky Blue Queen</t>
  </si>
  <si>
    <t>23302103175AQT</t>
  </si>
  <si>
    <t>706258090281</t>
  </si>
  <si>
    <t>Charter Club Damask Supima Cotton 550-Threa Parchment Beige Twin XL</t>
  </si>
  <si>
    <t>DLLSLTLSPAR</t>
  </si>
  <si>
    <t>733001039600</t>
  </si>
  <si>
    <t>Martha Stewart Collection Wyoming Plaid Full Queen Duvet Maroon Combo FullQueen</t>
  </si>
  <si>
    <t>100094873FQ</t>
  </si>
  <si>
    <t>733001281733</t>
  </si>
  <si>
    <t>Martha Stewart Collection Printed Cotton Flannel 4-Pc. Q Ski Mountain Queen</t>
  </si>
  <si>
    <t>100094879QN</t>
  </si>
  <si>
    <t>191790041097</t>
  </si>
  <si>
    <t>AQ Textiles Camden Sateen 1250-Thread Coun Black King</t>
  </si>
  <si>
    <t>25542104010AQT</t>
  </si>
  <si>
    <t>734737422964</t>
  </si>
  <si>
    <t>Fairfield Square Collection Austin 8-Pc. Reversible Comfor Red King</t>
  </si>
  <si>
    <t>15977329V</t>
  </si>
  <si>
    <t>32281278663</t>
  </si>
  <si>
    <t>Marvel Spiderman 3-Piece Twin Sheet S Multi Twin</t>
  </si>
  <si>
    <t>JF27866</t>
  </si>
  <si>
    <t>86569007681</t>
  </si>
  <si>
    <t>Intelligent Design Raina Metallic-Print 50 x 84 Aqua 50x84</t>
  </si>
  <si>
    <t>ID40-1407</t>
  </si>
  <si>
    <t>810002521416</t>
  </si>
  <si>
    <t>De Moocci De Moocci Tipped Extra-Fluffy Gray FullQueen</t>
  </si>
  <si>
    <t>1812BNKT BJR GRY FQ</t>
  </si>
  <si>
    <t>791551863403</t>
  </si>
  <si>
    <t>Berkshire Holiday Printed Reversible Kin Red King</t>
  </si>
  <si>
    <t>16951-KG-YY9</t>
  </si>
  <si>
    <t>675716901714</t>
  </si>
  <si>
    <t>INKIVY Bree Chunky-Knit 26 Square Eu Ivory European</t>
  </si>
  <si>
    <t>II30-871</t>
  </si>
  <si>
    <t>8682486366584</t>
  </si>
  <si>
    <t>Ambesonne Ambesonne Floral Shower Curtai Multi No Size</t>
  </si>
  <si>
    <t>SC 25171</t>
  </si>
  <si>
    <t>675716467272</t>
  </si>
  <si>
    <t>Madison Park Duke Ribbed 50 x 60 Faux-Fur Ivory 50x60</t>
  </si>
  <si>
    <t>MP50-454</t>
  </si>
  <si>
    <t>BODY: POLYESTER;</t>
  </si>
  <si>
    <t>782717561363</t>
  </si>
  <si>
    <t>Pure Care Luxury Microfiber Wrinkle Resi Lightpaste Queen</t>
  </si>
  <si>
    <t>PCSMFPC-Q-GY</t>
  </si>
  <si>
    <t>732998002949</t>
  </si>
  <si>
    <t>Hotel Collection Corded Cotton 300-Thread Count White Standard</t>
  </si>
  <si>
    <t>100088542SQ</t>
  </si>
  <si>
    <t>COTTON; POLYESTER FILL</t>
  </si>
  <si>
    <t>732997452349</t>
  </si>
  <si>
    <t>Martha Stewart Collection Martha Stewart Collection Tuft Grey Standard Sham</t>
  </si>
  <si>
    <t>706258050995</t>
  </si>
  <si>
    <t>Charter Club Damask Stripe Pima Cotton 550- Cotton Candy Light Pink Standard Sham</t>
  </si>
  <si>
    <t>DLLSTSTHCTN</t>
  </si>
  <si>
    <t>86569096586</t>
  </si>
  <si>
    <t>JLA Home Atlantic Mosaic Lotion Pump BlueSilver</t>
  </si>
  <si>
    <t>MCH71-827</t>
  </si>
  <si>
    <t>GLASS</t>
  </si>
  <si>
    <t>735732551444</t>
  </si>
  <si>
    <t>Seventh Studio 3 Piece Bath Accessory Set Ltpaspink</t>
  </si>
  <si>
    <t>3B-BTH-3BTH-MA</t>
  </si>
  <si>
    <t>766195440648</t>
  </si>
  <si>
    <t>Tommy Hilfiger All American II Cotton Washclo Steel Grey Washcloths</t>
  </si>
  <si>
    <t>079387TH015</t>
  </si>
  <si>
    <t>844353091045</t>
  </si>
  <si>
    <t>Rizzy Home Riztex USA Giotto King Quilt Gray KingCalifornia King</t>
  </si>
  <si>
    <t>QLTBQ4528GY001692</t>
  </si>
  <si>
    <t>734737554030</t>
  </si>
  <si>
    <t>Splendid Splendid Tuscan Stripe King Co NavyMulti King</t>
  </si>
  <si>
    <t>SPLENDID/SUNHAM CO USA</t>
  </si>
  <si>
    <t>LINEN/COTTON</t>
  </si>
  <si>
    <t>732999761944</t>
  </si>
  <si>
    <t>Hotel Collection Classic Grand Bouquet King Duv Purple King</t>
  </si>
  <si>
    <t>100099618KG</t>
  </si>
  <si>
    <t>848742072783</t>
  </si>
  <si>
    <t>Lush Decor Hygge Geo Taupe 3-Pc Set Full Black FullQueen</t>
  </si>
  <si>
    <t>16T002836</t>
  </si>
  <si>
    <t>874479002663</t>
  </si>
  <si>
    <t>Jerdon The Jerdon JRT910CL 6.5 x 9 Chrome No Size</t>
  </si>
  <si>
    <t>JRT910CL</t>
  </si>
  <si>
    <t>842164000300</t>
  </si>
  <si>
    <t>AQ Textiles Bergen Egyptian Cotton Sateen Dark Grey Queen</t>
  </si>
  <si>
    <t>19802103221AQT</t>
  </si>
  <si>
    <t>732995626896</t>
  </si>
  <si>
    <t>Hotel Collection Woodrose 300-Thread Count Full Medium Pink FullQueen</t>
  </si>
  <si>
    <t>100041753QN</t>
  </si>
  <si>
    <t>709271377766</t>
  </si>
  <si>
    <t>Calvin Klein Modern Cotton Body FullQueen Charcoal FullQueen</t>
  </si>
  <si>
    <t>141BODY-FQ-C1-D2</t>
  </si>
  <si>
    <t>732998144199</t>
  </si>
  <si>
    <t>Charter Club Ultra Fine Cotton 800-Thread C Charcoal Queen</t>
  </si>
  <si>
    <t>T800QNSCHR</t>
  </si>
  <si>
    <t>732999215775</t>
  </si>
  <si>
    <t>Martha Stewart Collection Whim by Martha Stewart Collect White FullQueen</t>
  </si>
  <si>
    <t>100069907FQ</t>
  </si>
  <si>
    <t>732999837151</t>
  </si>
  <si>
    <t>Charter Club Dual Warmth Two-in-One FullQu White FullQueen</t>
  </si>
  <si>
    <t>100105523FQ</t>
  </si>
  <si>
    <t>628961002378</t>
  </si>
  <si>
    <t>Kensington Garden Dover King Cotton Rich Cool Co White King</t>
  </si>
  <si>
    <t>JET9820</t>
  </si>
  <si>
    <t>706257404331</t>
  </si>
  <si>
    <t>Hotel Collection Cotton 680 Thread Count King F White King</t>
  </si>
  <si>
    <t>68H21KGFL</t>
  </si>
  <si>
    <t>KING FLAT</t>
  </si>
  <si>
    <t>706254231190</t>
  </si>
  <si>
    <t>Hotel Collection Embroidered Frame European Sha Charcoal European Sham</t>
  </si>
  <si>
    <t>EF14ES790CH</t>
  </si>
  <si>
    <t>844353090987</t>
  </si>
  <si>
    <t>Riztex USA Riztex USA Giotto King Sham Gray King Sham</t>
  </si>
  <si>
    <t>QLTBQ4528GY002036</t>
  </si>
  <si>
    <t>KGTAILORED</t>
  </si>
  <si>
    <t>844353087796</t>
  </si>
  <si>
    <t>Riztex USA Riztex USA Lydia King Sham Gray King Sham</t>
  </si>
  <si>
    <t>QLTBQ4518GY002036</t>
  </si>
  <si>
    <t>791551262336</t>
  </si>
  <si>
    <t>COMFORTER/SHAM: COTTON, REVERSES TO COTTON/POLYESTER; THREAD COUNT: 200, REVERSES TO 180; BEDSKIRT: COTTON POLYESTER (DROP)/POLYESTER (PLATFORM); PILLOW: COTTON/POLYESTER; FILL: POLYESTER</t>
  </si>
  <si>
    <t>86569003355</t>
  </si>
  <si>
    <t>Urban Habitat Brooklyn 7-Pc. FullQueen Cott Grey FullQueen</t>
  </si>
  <si>
    <t>UH12-2163</t>
  </si>
  <si>
    <t>DUVET/SHAM: COTTON; PILLOW/EUROPEAN SHAM: COTTON; PILLOW FILL: POLYESTER</t>
  </si>
  <si>
    <t>86569000767</t>
  </si>
  <si>
    <t>Urban Habitat Urban Habitat Larisa 7-Pc Full Blush FullQueen</t>
  </si>
  <si>
    <t>UH10-2137</t>
  </si>
  <si>
    <t>100% COTTON PERCALE ; COMFORTER FILL:100% POLYESTER; DECORATIVE PILLOW FILL: 100% POLYESTER</t>
  </si>
  <si>
    <t>675716791063</t>
  </si>
  <si>
    <t>Madison Park Parker 3-Pc. KingCalifornia K Brown KingCalifornia King</t>
  </si>
  <si>
    <t>BASI10-0422</t>
  </si>
  <si>
    <t>FABRIC: POLYESTER 280 GSM, REVERSES TO 170 GSM; POLYESTER FILL 200 GRAMS PER SQUARE METER</t>
  </si>
  <si>
    <t>750105138329</t>
  </si>
  <si>
    <t>Charter Club Firm King Down Pillow White King</t>
  </si>
  <si>
    <t>FEDP0860WK</t>
  </si>
  <si>
    <t>689192617212</t>
  </si>
  <si>
    <t>Ella Jayne Reversible Brushed Microfiber Rose King</t>
  </si>
  <si>
    <t>EJHCFSTREVRSK</t>
  </si>
  <si>
    <t>DOWN COMFORTR</t>
  </si>
  <si>
    <t>636202611975</t>
  </si>
  <si>
    <t>Hotel Collection Hotel Collection 525 Thread Co White Queen</t>
  </si>
  <si>
    <t>5W17QSS790</t>
  </si>
  <si>
    <t>732998868248</t>
  </si>
  <si>
    <t>Charter Club Damask Designs New Geo Cotton Smoke Queen</t>
  </si>
  <si>
    <t>100083233QN</t>
  </si>
  <si>
    <t>CHARTER CLUB-EDI/RWI/LAMEIRINHO</t>
  </si>
  <si>
    <t>718498145508</t>
  </si>
  <si>
    <t>Shavel Microflannel Solid Queen Sheet Chocolate Queen</t>
  </si>
  <si>
    <t>MFNSSQNCHO</t>
  </si>
  <si>
    <t>SADDLE</t>
  </si>
  <si>
    <t>SHAVEL ASSOCIATES</t>
  </si>
  <si>
    <t>732997255926</t>
  </si>
  <si>
    <t>Hotel Collection x White Queen</t>
  </si>
  <si>
    <t>100068205QN</t>
  </si>
  <si>
    <t>783048021120</t>
  </si>
  <si>
    <t>Truly Soft Truly Soft Pleated White Full White FullQueen</t>
  </si>
  <si>
    <t>CS1969WTFQ-1500</t>
  </si>
  <si>
    <t>COMFORTER AND SHAM FACE AND BACK CLOTH IS 100% BRUSHED MICROFIBER POLYESTER WITH POLYESTER FILLING.</t>
  </si>
  <si>
    <t>732995473896</t>
  </si>
  <si>
    <t>Charter Club Damask Designs Watercolor Leaf Yellow King</t>
  </si>
  <si>
    <t>100037374KG</t>
  </si>
  <si>
    <t>FABRIC: 100% COTTON; THREAD COUNT: 300</t>
  </si>
  <si>
    <t>86569939234</t>
  </si>
  <si>
    <t>Madison Park Cotton 6-Pc. Towel Set Grey ONE SIZE</t>
  </si>
  <si>
    <t>MP73-5137</t>
  </si>
  <si>
    <t>191790023451</t>
  </si>
  <si>
    <t>Fairfield Square Collection Fairfield Square Sydney 825-Th Pink Queen</t>
  </si>
  <si>
    <t>23202103064AQT</t>
  </si>
  <si>
    <t>96675807051</t>
  </si>
  <si>
    <t>SensorPEDIC Luxury Extraordinaire Contour White Standard</t>
  </si>
  <si>
    <t>SINGLE</t>
  </si>
  <si>
    <t>733001041191</t>
  </si>
  <si>
    <t>Martha Stewart Collection Printed Cotton Flannel 4-Pc. F Fair Isle Full</t>
  </si>
  <si>
    <t>100094883FL</t>
  </si>
  <si>
    <t>191790041141</t>
  </si>
  <si>
    <t>AQ Textiles Camden Sateen 1250-Thread Coun Gray King</t>
  </si>
  <si>
    <t>25542104427AQT</t>
  </si>
  <si>
    <t>732997431085</t>
  </si>
  <si>
    <t>Martha Stewart Collection Holiday Patchwork Throw Red 50x60</t>
  </si>
  <si>
    <t>733001448617</t>
  </si>
  <si>
    <t>Charter Club Damask Designs Garden Manor Co Red FullQueen</t>
  </si>
  <si>
    <t>100098972FQ</t>
  </si>
  <si>
    <t>636202239575</t>
  </si>
  <si>
    <t>Martha Stewart Collection Stay Gold 14 x 20 Decorati Gold</t>
  </si>
  <si>
    <t>DECGOLD</t>
  </si>
  <si>
    <t>191790040946</t>
  </si>
  <si>
    <t>AQ Textiles Camden 1250 thread count 4 pc Ivory Queen</t>
  </si>
  <si>
    <t>25542103003AQT</t>
  </si>
  <si>
    <t>734737532700</t>
  </si>
  <si>
    <t>Fairfield Square Collection Paris Gold 8-Pc. Reversible Qu White Twin XL</t>
  </si>
  <si>
    <t>18393024A</t>
  </si>
  <si>
    <t>26865881509</t>
  </si>
  <si>
    <t>Elrene Athena Rod Pocket 52 x 84 Pa Ivory 52x84</t>
  </si>
  <si>
    <t>17796IVR</t>
  </si>
  <si>
    <t>645470188638</t>
  </si>
  <si>
    <t>Modern Threads 2 Pack Black Out Curtains Beige</t>
  </si>
  <si>
    <t>5BOCRTNG-IVY-96</t>
  </si>
  <si>
    <t>AMRAPUR OVERSEAS INC</t>
  </si>
  <si>
    <t>675716846176</t>
  </si>
  <si>
    <t>Intelligent Design Adel 50x84 Printed Blackout W Yellow 50x84</t>
  </si>
  <si>
    <t>ID40-1014</t>
  </si>
  <si>
    <t>732996541105</t>
  </si>
  <si>
    <t>Hotel Collection Connections Cotton 30 x 56 B Light Steel Bath Towels</t>
  </si>
  <si>
    <t>675716676377</t>
  </si>
  <si>
    <t>Madison Park Irina 50 x 84 Embroidered Di WhiteGrey 50x84</t>
  </si>
  <si>
    <t>MP40-2010</t>
  </si>
  <si>
    <t>783048064660</t>
  </si>
  <si>
    <t>Pem America Paris 2-Pc. FullQueen Comfort Blush FullQueen</t>
  </si>
  <si>
    <t>CS2739FQ-1540</t>
  </si>
  <si>
    <t>732998151227</t>
  </si>
  <si>
    <t>Martha Stewart Collection Vertical Stripe Beach Tote Cool Combo ONE SIZE</t>
  </si>
  <si>
    <t>INC-EDI/MARTHA STEWART/STRAW STUDIO</t>
  </si>
  <si>
    <t>BODY: PAPER; LINING: POLYESTER; STRAPS: POLYURETHANE</t>
  </si>
  <si>
    <t>791551525837</t>
  </si>
  <si>
    <t>Berkshire Berkshire Classic Velvety Plus Humus FullQueen</t>
  </si>
  <si>
    <t>13841-FQ-52T</t>
  </si>
  <si>
    <t>791551865377</t>
  </si>
  <si>
    <t>Berkshire VelvetLoft Woodgrain 50 x 60 Burnt Olive ONE SIZE</t>
  </si>
  <si>
    <t>E4981-T1-87G</t>
  </si>
  <si>
    <t>DARK GREEN</t>
  </si>
  <si>
    <t>26865902518</t>
  </si>
  <si>
    <t>Elrene Charlotte Tassel Tieback Ivory No Size</t>
  </si>
  <si>
    <t>20065IVR</t>
  </si>
  <si>
    <t>646998643395</t>
  </si>
  <si>
    <t>CHF Reversible Watercolor Floral-P Spice 50x84</t>
  </si>
  <si>
    <t>1-40420GSI</t>
  </si>
  <si>
    <t>MED ORANGE</t>
  </si>
  <si>
    <t>91116694467</t>
  </si>
  <si>
    <t>Jessica Sanders Solid Microfiber Queen Sheet S Navy Queen</t>
  </si>
  <si>
    <t>850018905411</t>
  </si>
  <si>
    <t>VG SATIN MASK GN</t>
  </si>
  <si>
    <t>F-STN-MK-04</t>
  </si>
  <si>
    <t>DISCOVER NIGHT LLC</t>
  </si>
  <si>
    <t>850018905428</t>
  </si>
  <si>
    <t>VG SATIN MASK BH</t>
  </si>
  <si>
    <t>F-STN-MK-05</t>
  </si>
  <si>
    <t>32281247232</t>
  </si>
  <si>
    <t>Disney Chewbacca 2-Pc. Nogginz Pillow Multi Color</t>
  </si>
  <si>
    <t>JF24723MCD</t>
  </si>
  <si>
    <t>DISNEY/JAY FRANCO &amp; SONS</t>
  </si>
  <si>
    <t>788904037994</t>
  </si>
  <si>
    <t>Royal Luxe StandardQueen Pillow White StandardQueen</t>
  </si>
  <si>
    <t>BLUE RIDGE HOME FASHIONS</t>
  </si>
  <si>
    <t>COVER: 240TC COTTON; FILL: 42OZ HYPOALLERGENIC WATERFOWL FEATHERS</t>
  </si>
  <si>
    <t>732999837526</t>
  </si>
  <si>
    <t>Charter Club Cozy Plush Throw Polar Bear 50x70</t>
  </si>
  <si>
    <t>CHARTER CLUB-EDI/JLA HOME</t>
  </si>
  <si>
    <t>732995169676</t>
  </si>
  <si>
    <t>Charter Club Damask Supima Cotton 550-Threa Fresh Teal Standard Pillowcases</t>
  </si>
  <si>
    <t>DLLSLSPCTEA</t>
  </si>
  <si>
    <t>838810015804</t>
  </si>
  <si>
    <t>simplehuman Bath Accessories, Slim Toilet white</t>
  </si>
  <si>
    <t>BT1083</t>
  </si>
  <si>
    <t>STAINLESS STEEL/PLASTIC</t>
  </si>
  <si>
    <t>734737645462</t>
  </si>
  <si>
    <t>Sunham Soft Spun Cotton Bath Towel Yellow Bath Towels</t>
  </si>
  <si>
    <t>T18437Y252752</t>
  </si>
  <si>
    <t>32281252144</t>
  </si>
  <si>
    <t>DRAFT - Delete Disney Frozen 2 Elsa</t>
  </si>
  <si>
    <t>JF25214</t>
  </si>
  <si>
    <t>735837574201</t>
  </si>
  <si>
    <t>Hotel Collection European White Goose Down Heav White FullQueen</t>
  </si>
  <si>
    <t>HWGDQH08</t>
  </si>
  <si>
    <t>SHELL: 100% COTTON; FILL: DOWN; 700 FILL POWER</t>
  </si>
  <si>
    <t>193842105788</t>
  </si>
  <si>
    <t>J Queen New York Jqueen Vera California King 4 Black California King</t>
  </si>
  <si>
    <t>2506045WKCS</t>
  </si>
  <si>
    <t>86569390745</t>
  </si>
  <si>
    <t>Premier Comfort Premier Comfort Microlight Ele Dark Red King</t>
  </si>
  <si>
    <t>MCC54-2164</t>
  </si>
  <si>
    <t>750105134413</t>
  </si>
  <si>
    <t>Charter Club European White Down Medium Wei White FullQueen</t>
  </si>
  <si>
    <t>FEDC0820WQ</t>
  </si>
  <si>
    <t>811098030325</t>
  </si>
  <si>
    <t>Puredown Puredown Lightweight Down Blan Blue FullQueen</t>
  </si>
  <si>
    <t>PD 16017 C F Q</t>
  </si>
  <si>
    <t>ST JAMES HOME INC</t>
  </si>
  <si>
    <t>SHELL - 100 % COTTON, STUFFING - DOWN, FEATHER</t>
  </si>
  <si>
    <t>709271479736</t>
  </si>
  <si>
    <t>Calvin Klein Baltic FullQueen Duvet Set Tide FullQueen</t>
  </si>
  <si>
    <t>1510198-FQ-S1-D2</t>
  </si>
  <si>
    <t>CALVIN KLEIN HOME/HIMATSINGKA AMER</t>
  </si>
  <si>
    <t>100% COTTON 300 TC SATEEN</t>
  </si>
  <si>
    <t>732997431108</t>
  </si>
  <si>
    <t>Martha Stewart Collection Velvet Channel Stitch King Qui Red King</t>
  </si>
  <si>
    <t>100071392KG</t>
  </si>
  <si>
    <t>883893610057</t>
  </si>
  <si>
    <t>Nautica Craver Navy TwinTwin XL Comfo Navy TwinTwin XL</t>
  </si>
  <si>
    <t>USHSA51111821</t>
  </si>
  <si>
    <t>734737465671</t>
  </si>
  <si>
    <t>Sunham Mauror 24x72 Turkish Rug Grey 24x72</t>
  </si>
  <si>
    <t>R3682AN112472</t>
  </si>
  <si>
    <t>86569390417</t>
  </si>
  <si>
    <t>Premier Comfort Premier Comfort Microlight Ele White Twin</t>
  </si>
  <si>
    <t>MCC54-2149</t>
  </si>
  <si>
    <t>883893657366</t>
  </si>
  <si>
    <t>Vera Wang Grisaille Weave Standard Sham Onyx Standard</t>
  </si>
  <si>
    <t>USHSGY1145620</t>
  </si>
  <si>
    <t>STDTAILOR</t>
  </si>
  <si>
    <t>VERA WANG/REVMAN INTERNATIONAL</t>
  </si>
  <si>
    <t>MADE IN INDIA</t>
  </si>
  <si>
    <t>75% COTTON, 25% POLYESTER</t>
  </si>
  <si>
    <t>732998792802</t>
  </si>
  <si>
    <t>Charter Club Damask Cotton 210-Thread Count Smoke FullQueen</t>
  </si>
  <si>
    <t>DSKQLTCFQSMO</t>
  </si>
  <si>
    <t>706258090960</t>
  </si>
  <si>
    <t>Charter Club Damask Stripe Supima Cotton 55 Smoke Grey Queen</t>
  </si>
  <si>
    <t>DLLSTQDSSMO</t>
  </si>
  <si>
    <t>726895164237</t>
  </si>
  <si>
    <t>Martha Stewart Collection Stenciled Leaves Twin Quilt White TwinTwin XL</t>
  </si>
  <si>
    <t>100037784TW</t>
  </si>
  <si>
    <t>735837077481</t>
  </si>
  <si>
    <t>Hotel Collection 500 Thread count Mattress Pa White Queen</t>
  </si>
  <si>
    <t>2402HMPQ</t>
  </si>
  <si>
    <t>COTTON: FRONT &amp; BACK; FILL: POLYESTER;SKIRT:POLYESTER</t>
  </si>
  <si>
    <t>675716977214</t>
  </si>
  <si>
    <t>Intelligent Design Raina 5-Pc. FullQueen Comfort BlushGold FullQueen</t>
  </si>
  <si>
    <t>ID10-1247</t>
  </si>
  <si>
    <t>COVER AND FILLING: POLYESTER</t>
  </si>
  <si>
    <t>726895387131</t>
  </si>
  <si>
    <t>Charter Club Damask Stripe Supima Cotton 55 Pale Lilac Full</t>
  </si>
  <si>
    <t>DLLSTFLSLIL</t>
  </si>
  <si>
    <t>732997069691</t>
  </si>
  <si>
    <t>Charter Club Damask Collection Windowpane C Clean Chambray Full</t>
  </si>
  <si>
    <t>100070335FL</t>
  </si>
  <si>
    <t>706258051442</t>
  </si>
  <si>
    <t>Charter Club Damask Cotton 210-Thread Count Stone Twin</t>
  </si>
  <si>
    <t>DSKQLTCTSTN</t>
  </si>
  <si>
    <t>191790023673</t>
  </si>
  <si>
    <t>Fairfield Square Collection Sydney 825-Thread Count 6-Pc. Ivory Queen</t>
  </si>
  <si>
    <t>23212103003AQT</t>
  </si>
  <si>
    <t>874479003004</t>
  </si>
  <si>
    <t>Jerdon The Sharper Image JS911B Beaut Black No Size</t>
  </si>
  <si>
    <t>JS911B</t>
  </si>
  <si>
    <t>JERDON STYLE LLC</t>
  </si>
  <si>
    <t>METAL, GLASS</t>
  </si>
  <si>
    <t>734737474680</t>
  </si>
  <si>
    <t>Lacoste Home Solid Percale Twin XL Sheet Se Sleet Twin XL</t>
  </si>
  <si>
    <t>732997906514</t>
  </si>
  <si>
    <t>Hotel Collection Hotel Collection Terra Quilted Grey King</t>
  </si>
  <si>
    <t>100073997KG</t>
  </si>
  <si>
    <t>FRONT: COTTON/POLYESTER BLEND, FILL: 100% POLYESTER</t>
  </si>
  <si>
    <t>709271489209</t>
  </si>
  <si>
    <t>Calvin Klein Eyelet 14 X 20 Decorative Pi White 14x20</t>
  </si>
  <si>
    <t>5110217-RY-W1-D2</t>
  </si>
  <si>
    <t>733001041238</t>
  </si>
  <si>
    <t>Martha Stewart Collection Printed Cotton Flannel 3-Pc. T Fair Isle TwinTwin XL</t>
  </si>
  <si>
    <t>100094883TW</t>
  </si>
  <si>
    <t>732997393956</t>
  </si>
  <si>
    <t>Hotel Collection Primaloft 450-Thread Count Med White Standard</t>
  </si>
  <si>
    <t>100083175QN</t>
  </si>
  <si>
    <t>OUTER COVER: COTTON; INNER SHELL: COTTON; FILL: POLYESTER FIBERFILL</t>
  </si>
  <si>
    <t>784851503773</t>
  </si>
  <si>
    <t>Elegant Comfort Elegant Comfort Luxurious Silk Bright Pin FullQueen</t>
  </si>
  <si>
    <t>DVT1500 Q LIGHT PINK</t>
  </si>
  <si>
    <t>732995096057</t>
  </si>
  <si>
    <t>Martha Stewart Collection Windmill Artisan Standard Sham Grey Standard Sham</t>
  </si>
  <si>
    <t>100047327ST</t>
  </si>
  <si>
    <t>29927560015</t>
  </si>
  <si>
    <t>No. 918 No. 918 Dylan Casual Textured White 54x36</t>
  </si>
  <si>
    <t>680656136829</t>
  </si>
  <si>
    <t>Decopolitan Decopolitan 1-Inch Urn Telesco Silver</t>
  </si>
  <si>
    <t>DECOPOLITAN/BEME INTERNATIONAL LLC</t>
  </si>
  <si>
    <t>STEEL</t>
  </si>
  <si>
    <t>732997005255</t>
  </si>
  <si>
    <t>Martha Stewart Collection Essentials Solid Microfiber 4- Blush Full</t>
  </si>
  <si>
    <t>10014996FL</t>
  </si>
  <si>
    <t>MARTHA S-EDI/RWI/PEM-SHEETS</t>
  </si>
  <si>
    <t>10482036398</t>
  </si>
  <si>
    <t>Magic Skirt Tailored Queen Bed Skirt Navy Queen</t>
  </si>
  <si>
    <t>FRE-245-14-NAVY-03</t>
  </si>
  <si>
    <t>732995740608</t>
  </si>
  <si>
    <t>Martha Stewart Collection Stenciled Leaves Standard Sham Blue Standard Sham</t>
  </si>
  <si>
    <t>100037828ST</t>
  </si>
  <si>
    <t>21864227730</t>
  </si>
  <si>
    <t>Avanti Braided Cuff Bath Towel, 25x Rattan Bath Towels</t>
  </si>
  <si>
    <t>011651RTN</t>
  </si>
  <si>
    <t>TAUPE</t>
  </si>
  <si>
    <t>732995471427</t>
  </si>
  <si>
    <t>Martha Stewart Collection Crochet Standard Sham Grey Standard Sham</t>
  </si>
  <si>
    <t>100039548ST</t>
  </si>
  <si>
    <t>91116695341</t>
  </si>
  <si>
    <t>Sanders Printed Microfiber Full Sheet Batik Grey Full</t>
  </si>
  <si>
    <t>PM3SSF</t>
  </si>
  <si>
    <t>732998408710</t>
  </si>
  <si>
    <t>Martha Stewart Collection Reversible Poppy Flora Yarn Dy Blue Standard Sham</t>
  </si>
  <si>
    <t>100082703ST</t>
  </si>
  <si>
    <t>732998216179</t>
  </si>
  <si>
    <t>Charter Club Damask Stripe Supima Cotton 55 Neo Natural King Pillowcases</t>
  </si>
  <si>
    <t>DLLSTKPCNAT</t>
  </si>
  <si>
    <t>21864227754</t>
  </si>
  <si>
    <t>Avanti Braided Cuff, Hand Towel, 1 Rattan Hand Towels</t>
  </si>
  <si>
    <t>011652RTN</t>
  </si>
  <si>
    <t>25521184657</t>
  </si>
  <si>
    <t>Martha Stewart Collection Wont Go Flat Core Firm Standa White Standard</t>
  </si>
  <si>
    <t>18465FN</t>
  </si>
  <si>
    <t>885308328984</t>
  </si>
  <si>
    <t>Traditions by Waverly Navarra Kristy Valance Porcelain ONE SIZE</t>
  </si>
  <si>
    <t>14312052016POR</t>
  </si>
  <si>
    <t>KEECO LLC/GRASSI ASSOCIATES INC</t>
  </si>
  <si>
    <t>46249646685</t>
  </si>
  <si>
    <t>Tommy Hilfiger Modern American 16 x 26 Cott White Hand Towels</t>
  </si>
  <si>
    <t>27T0465-HD-B2-D1</t>
  </si>
  <si>
    <t>732997124949</t>
  </si>
  <si>
    <t>Martha Stewart Collection Quick Dry Reversible Wash Towe Verbena Purple Washcloths</t>
  </si>
  <si>
    <t>MSQDRWPU</t>
  </si>
  <si>
    <t>732998127352</t>
  </si>
  <si>
    <t>NEW SWTH STR TW BASIC</t>
  </si>
  <si>
    <t>100090475TW</t>
  </si>
  <si>
    <t>733001363170</t>
  </si>
  <si>
    <t>Martha Stewart Collection LAST ACT Medallion Tufted Vel Ivory TwinTwin XL</t>
  </si>
  <si>
    <t>100106021TW</t>
  </si>
  <si>
    <t>783048131904</t>
  </si>
  <si>
    <t>Pem America Chambray Plaid Twin 6PC Comfo Multi Twin</t>
  </si>
  <si>
    <t>BIB3719TW-3240</t>
  </si>
  <si>
    <t>679610826166</t>
  </si>
  <si>
    <t>Hallmart Collectibles 2-Pk. Velvet Textured Stripe 2 Taupe 18x18</t>
  </si>
  <si>
    <t>732998859246</t>
  </si>
  <si>
    <t>Martha Stewart Collection Embroidered Silky Satin Standa Grey Standard Sham</t>
  </si>
  <si>
    <t>100090938ST</t>
  </si>
  <si>
    <t>735837574140</t>
  </si>
  <si>
    <t>Hotel Collection European White Goose Down Ligh White FullQueen</t>
  </si>
  <si>
    <t>HWGDLQ02</t>
  </si>
  <si>
    <t>734737602861</t>
  </si>
  <si>
    <t>Lacoste Home Backspin Ivory FQ Comforter S Ivory FullQueen</t>
  </si>
  <si>
    <t>POLYESTER FILL</t>
  </si>
  <si>
    <t>675716493851</t>
  </si>
  <si>
    <t>Madison Park Aubrey 12-Pc. Full Comforter S Brown Full</t>
  </si>
  <si>
    <t>MP10-657</t>
  </si>
  <si>
    <t>COMFORTER, SHAMS, BEDSKIRT AND DECORATIVE PILLOWS: POLYESTER; COMFORTER FILL: POLYESTER 270 GRAMS PER SQUARE METER; DECORATIVE PILLOW FILL: POLYESTER; SHEETS: COTTON; THREAD COUNT: 200</t>
  </si>
  <si>
    <t>675716584597</t>
  </si>
  <si>
    <t>Madison Park Serene 7-Pc. King Comforter Se Spice King</t>
  </si>
  <si>
    <t>MP10-1367</t>
  </si>
  <si>
    <t>COMFORTER/SHAM/BEDSKIRT (DROP AND PLATFORM)/PILLOW: POLYESTER; COMFORTER FILL: POLYESTER 270 GRAMS PER SQUARE METER; PILLOW FILL: POLYESTER</t>
  </si>
  <si>
    <t>735837083055</t>
  </si>
  <si>
    <t>Hotel Collection Hotel Collection Luxury Down A White FullQueen</t>
  </si>
  <si>
    <t>HDAQ902</t>
  </si>
  <si>
    <t>766195490483</t>
  </si>
  <si>
    <t>Tommy Hilfiger Cove Stripe 2-Pc. Twin Comfort CreamNavy Twin</t>
  </si>
  <si>
    <t>134427TH001</t>
  </si>
  <si>
    <t>COTTON / POLYESTER FILL</t>
  </si>
  <si>
    <t>883893344464</t>
  </si>
  <si>
    <t>Laura Ashley Laura Ashley FullQueen Amberl Pastel Grey FullQueen</t>
  </si>
  <si>
    <t>883893491816</t>
  </si>
  <si>
    <t>Laura Ashley Laura Ashley FullQueen Breezy Pastel Grey FullQueen</t>
  </si>
  <si>
    <t>86569047182</t>
  </si>
  <si>
    <t>Sleep Philosophy Sleep Philosophy Premium Soft Ivory 60x70</t>
  </si>
  <si>
    <t>BL51-0914</t>
  </si>
  <si>
    <t>POLYESTER COVER / NON TOXIC BEADS &amp; POLYESTER FIBER FILLING</t>
  </si>
  <si>
    <t>848742084809</t>
  </si>
  <si>
    <t>Lush Decor Chenille Chevron 72 x 72 Sho Blush 72X72</t>
  </si>
  <si>
    <t>16T004187</t>
  </si>
  <si>
    <t>732998350293</t>
  </si>
  <si>
    <t>Martha Stewart Collection Valencia Mandala 3-Pc. FullQu Blue FullQueen</t>
  </si>
  <si>
    <t>100081810FQ</t>
  </si>
  <si>
    <t>FABRIC: 100% COTTON 250 GRAMS PER SQUARE METER; THREAD COUNT: 250, REVERSES TO 144</t>
  </si>
  <si>
    <t>706257375082</t>
  </si>
  <si>
    <t>Charter Club Down Alternative Super Luxe 30 White King</t>
  </si>
  <si>
    <t>10049325KG</t>
  </si>
  <si>
    <t>SHELL: 100% COTTON; THREAD COUNT: 300; 60 OZ HYPOALLERGENIC POLYESTER FIBERFILL</t>
  </si>
  <si>
    <t>810039580011</t>
  </si>
  <si>
    <t>Present Living Home Quilt Alexa Yellow King</t>
  </si>
  <si>
    <t>002-K ALEXA</t>
  </si>
  <si>
    <t>PRESENT LIVING HOME LLC</t>
  </si>
  <si>
    <t>849709017519</t>
  </si>
  <si>
    <t>LOFT EVOLUTION by Loft Aqua ONE SIZE</t>
  </si>
  <si>
    <t>LOFTEX HOME LLC</t>
  </si>
  <si>
    <t>80% COTTON / 20% RECYCLED PET LOOP, 100% COTTON GROUND</t>
  </si>
  <si>
    <t>734737532731</t>
  </si>
  <si>
    <t>Fairfield Square Collection Paris Gold 8-Pc. Reversible Qu White King</t>
  </si>
  <si>
    <t>18393324NCPV</t>
  </si>
  <si>
    <t>783048000408</t>
  </si>
  <si>
    <t>Christian Siriano New York 60 x 70 Gray Chevron Luxury Grey 60x70</t>
  </si>
  <si>
    <t>TH1696-9100</t>
  </si>
  <si>
    <t>783048124791</t>
  </si>
  <si>
    <t>Pem America Floral Bouquet Cal King 8PC Co Purple California King</t>
  </si>
  <si>
    <t>BIB3546CK-3240</t>
  </si>
  <si>
    <t>783048128188</t>
  </si>
  <si>
    <t>Pem America Modern Stripe 8-Pc. Queen Comf Multi Queen</t>
  </si>
  <si>
    <t>BIB3607QN-3240</t>
  </si>
  <si>
    <t>735837086339</t>
  </si>
  <si>
    <t>Hotel Collection Down-Alternative Firm-Density White Standard</t>
  </si>
  <si>
    <t>HDAFJ906</t>
  </si>
  <si>
    <t>42437010894</t>
  </si>
  <si>
    <t>Kenney Finn 58 Fast Fit Easy Instal Weathered Brown 36-72in</t>
  </si>
  <si>
    <t>KN75242REM</t>
  </si>
  <si>
    <t>KENNEY MANUFACTURING COMPANY</t>
  </si>
  <si>
    <t>732995965520</t>
  </si>
  <si>
    <t>Martha Stewart Collection Essentials Jersey 4-Pc. Full S Heathered Pink Queen</t>
  </si>
  <si>
    <t>10015002QN</t>
  </si>
  <si>
    <t>734737581388</t>
  </si>
  <si>
    <t>Sunham Geo 3-Pc. Reversible FullQuee Grey FullQueen</t>
  </si>
  <si>
    <t>766360449681</t>
  </si>
  <si>
    <t>Hotel Collection Turkish 20 x 32 Tub Mat Sandstone</t>
  </si>
  <si>
    <t>HTLTURTSAN</t>
  </si>
  <si>
    <t>KHAKI</t>
  </si>
  <si>
    <t>190733143829</t>
  </si>
  <si>
    <t>Linum Home Soft Twist Hand Towel White</t>
  </si>
  <si>
    <t>ST-1HT</t>
  </si>
  <si>
    <t>LINUM HOME TEXTILES LLC</t>
  </si>
  <si>
    <t>TURKISH COTTON</t>
  </si>
  <si>
    <t>36326535414</t>
  </si>
  <si>
    <t>Saturday Knight Coral Garden Cotton Stripe Han Coral Pink</t>
  </si>
  <si>
    <t>732996957586</t>
  </si>
  <si>
    <t>Hotel Collection Block Geo Cotton 30 x 56 Bat Lake Combo Bath Towels</t>
  </si>
  <si>
    <t>706254463096</t>
  </si>
  <si>
    <t>Hotel Collection Ultimate MicroCotton 30 x 5 Lake Bath Towels</t>
  </si>
  <si>
    <t>HTLMCBLKE</t>
  </si>
  <si>
    <t>848405039535</t>
  </si>
  <si>
    <t>Mainstream International Inc. Trailing Flower Cotton 30 x 5 Pink Bath Towels</t>
  </si>
  <si>
    <t>MACPRO204110</t>
  </si>
  <si>
    <t>BRGHT PINK</t>
  </si>
  <si>
    <t>MAINSTREAM INTERNATIONAL INC</t>
  </si>
  <si>
    <t>99446741806</t>
  </si>
  <si>
    <t>Nourison Holiday Grid 18 x 30 Plush A Black No Size</t>
  </si>
  <si>
    <t>ACCE033JPBLK018030</t>
  </si>
  <si>
    <t>30X18</t>
  </si>
  <si>
    <t>NOURISON INDUSTRIES INC</t>
  </si>
  <si>
    <t>734737473225</t>
  </si>
  <si>
    <t>Lacoste Legend 16 x 30 Supima Cotton Sand Hand Towels</t>
  </si>
  <si>
    <t>T16825N621630</t>
  </si>
  <si>
    <t>TANK SETS</t>
  </si>
  <si>
    <t>SUPIMA COTTON LOOPS/ COTTON GROUND</t>
  </si>
  <si>
    <t>726895142617</t>
  </si>
  <si>
    <t>Hotel Collection Ultimate MicroCotton Mingled S Vapor Combo Grey Hand Towels</t>
  </si>
  <si>
    <t>766195440754</t>
  </si>
  <si>
    <t>Tommy Hilfiger All American II Cotton Hand To Peacoat Hand Towels</t>
  </si>
  <si>
    <t>079387TH026</t>
  </si>
  <si>
    <t>766195440600</t>
  </si>
  <si>
    <t>Tommy Hilfiger All American II Cotton Hand To Birch Hand Towels</t>
  </si>
  <si>
    <t>079387TH011</t>
  </si>
  <si>
    <t>734737534704</t>
  </si>
  <si>
    <t>Sunham Soft Spun Cotton Bath Towel Powder Blue Bath Towels</t>
  </si>
  <si>
    <t>T18437B732752</t>
  </si>
  <si>
    <t>734737587793</t>
  </si>
  <si>
    <t>Lacoste Legend 13 Square Supima Cotto Lilac Washcloths</t>
  </si>
  <si>
    <t>T16825R311313</t>
  </si>
  <si>
    <t>LT/PAS RED</t>
  </si>
  <si>
    <t>706254464246</t>
  </si>
  <si>
    <t>Hotel Collection Ultimate MicroCotton 13 x 13 Smoke Washcloths</t>
  </si>
  <si>
    <t>HTLMCWSMK</t>
  </si>
  <si>
    <t>706254464956</t>
  </si>
  <si>
    <t>Hotel Collection Ultimate MicroCotton 13 x 13 Glacier Washcloths</t>
  </si>
  <si>
    <t>HTLMCWGLC</t>
  </si>
  <si>
    <t>734737534865</t>
  </si>
  <si>
    <t>Sunham Soft Spun Cotton Hand Towel Grey Hand Towels</t>
  </si>
  <si>
    <t>T18437N111626</t>
  </si>
  <si>
    <t>734737534988</t>
  </si>
  <si>
    <t>Sunham Soft Spun Cotton Hand Towel Light Coral Hand Towels</t>
  </si>
  <si>
    <t>T18437R3071626</t>
  </si>
  <si>
    <t>734737534742</t>
  </si>
  <si>
    <t>Sunham Soft Spun Cotton Hand Towel Light Green Hand Towels</t>
  </si>
  <si>
    <t>T18437G2441626</t>
  </si>
  <si>
    <t>BRIGHT GRN</t>
  </si>
  <si>
    <t>679610822793</t>
  </si>
  <si>
    <t>Hallmart Collectibles Amnon 14-Pc. King Comforter Se Gray King</t>
  </si>
  <si>
    <t>848971029244</t>
  </si>
  <si>
    <t>BS 70 MICO TT</t>
  </si>
  <si>
    <t>BS70TTMICO</t>
  </si>
  <si>
    <t>732999603510</t>
  </si>
  <si>
    <t>Martha Stewart Collection Reversible Plaid King Comforte Grey Plaid King</t>
  </si>
  <si>
    <t>100109403KG</t>
  </si>
  <si>
    <t>732999856145</t>
  </si>
  <si>
    <t>Martha Stewart Collection Martha Stewart Essentials Down Crimson FullQueen</t>
  </si>
  <si>
    <t>100113408FQ</t>
  </si>
  <si>
    <t>811098030516</t>
  </si>
  <si>
    <t>Puredown Puredown All Season Comforter White King</t>
  </si>
  <si>
    <t>PD DC15008 K</t>
  </si>
  <si>
    <t>842164000379</t>
  </si>
  <si>
    <t>AQ Textiles Bergen Egyptian Cotton Sateen Dark Grey King</t>
  </si>
  <si>
    <t>19802104221AQT</t>
  </si>
  <si>
    <t>679610822014</t>
  </si>
  <si>
    <t>Hallmart Collectibles Omana 14 PC Queen Comforter Se Wine Queen</t>
  </si>
  <si>
    <t>800298662412</t>
  </si>
  <si>
    <t>DKNY DKNY City Pleat Blue King Duve Blue King</t>
  </si>
  <si>
    <t>CPD100343DVJ</t>
  </si>
  <si>
    <t>DONNA KARAN HOME/CHF INDUSTRIES</t>
  </si>
  <si>
    <t>843669132947</t>
  </si>
  <si>
    <t>Home Weavers Fantasia Bath Rug 3 Pc Grey</t>
  </si>
  <si>
    <t>BFA3PC172121GY</t>
  </si>
  <si>
    <t>54X21</t>
  </si>
  <si>
    <t>HOME WEAVERS INC</t>
  </si>
  <si>
    <t>675716493882</t>
  </si>
  <si>
    <t>Madison Park Laurel 7-Pc. Full Comforter Se Ivory Full</t>
  </si>
  <si>
    <t>MP10-660</t>
  </si>
  <si>
    <t>COMFORTER: POLYESTER; FILL: POLYESTERSHAM: POLYESTERBEDSKIRT: POLYESTER PILLOW: POLYESTER COVER; FILL: POLYESTER</t>
  </si>
  <si>
    <t>706254838900</t>
  </si>
  <si>
    <t>Martha Stewart Collection Seersucker 3-Pc. FullQueen Co Grey FullQueen</t>
  </si>
  <si>
    <t>100036508FQ</t>
  </si>
  <si>
    <t>E AND E CO/MARTHA STEWART-EDI-MMG</t>
  </si>
  <si>
    <t>FABRIC: COTTON/SPANDEX; REVERSE: COTTON; THREAD COUNT: 188; POLYESTER FILL</t>
  </si>
  <si>
    <t>732994113724</t>
  </si>
  <si>
    <t>Hotel Collection Cotton 680 Thread Count Full F Lagoon Full</t>
  </si>
  <si>
    <t>68L18FUFT</t>
  </si>
  <si>
    <t>RFBOTTOMFT</t>
  </si>
  <si>
    <t>732997452400</t>
  </si>
  <si>
    <t>Martha Stewart Collection Flourish Velvet FullQueen Qui Champagne FullQueen</t>
  </si>
  <si>
    <t>100020064FQ</t>
  </si>
  <si>
    <t>SHELL BACK: POLYESTER</t>
  </si>
  <si>
    <t>883893435124</t>
  </si>
  <si>
    <t>Eddie Bauer Eddie Bauer King Plaid Flannel Beacon Hill Pastel Grey King</t>
  </si>
  <si>
    <t>732999215799</t>
  </si>
  <si>
    <t>Martha Stewart Collection Whim by Martha Stewart Collect White TwinTwin XL</t>
  </si>
  <si>
    <t>100069907TW</t>
  </si>
  <si>
    <t>841643157290</t>
  </si>
  <si>
    <t>kensie Gigi Reversible Sherpa Hooded Navy ONE SIZE</t>
  </si>
  <si>
    <t>GIDNV-6-15596</t>
  </si>
  <si>
    <t>726895696394</t>
  </si>
  <si>
    <t>Hotel Collection Voile European Sham Grey European Sham</t>
  </si>
  <si>
    <t>100024683ER</t>
  </si>
  <si>
    <t>734737563155</t>
  </si>
  <si>
    <t>Sunham Emory 420-Thread Count 4-Pc. Q White Queen</t>
  </si>
  <si>
    <t>734737563186</t>
  </si>
  <si>
    <t>Sunham Emory 420-Thread Count 4-Pc. Q Ivory Queen</t>
  </si>
  <si>
    <t>706254672283</t>
  </si>
  <si>
    <t>Charter Club Hygro 400 Thread-Count Cotton White Twin</t>
  </si>
  <si>
    <t>T4HYGTWSWHI</t>
  </si>
  <si>
    <t>CHARTER CLUB-EDI/RWI/WELSPUN</t>
  </si>
  <si>
    <t>86569046093</t>
  </si>
  <si>
    <t>Beautyrest Sleep Philosophy 300 Thread Co White Queen</t>
  </si>
  <si>
    <t>BASI16-0549</t>
  </si>
  <si>
    <t>THREAD: COTTON; COVER: TENCEL® BRANDED LYOCELL FILLED</t>
  </si>
  <si>
    <t>734737567931</t>
  </si>
  <si>
    <t>Sunham Norvara 500-Thread Count 6-Pc. Blue Queen</t>
  </si>
  <si>
    <t>814945026434</t>
  </si>
  <si>
    <t>De Moocci Faux Fur Throw Blanket, Super Ivory 50x60</t>
  </si>
  <si>
    <t>1708FF-MON-BGE</t>
  </si>
  <si>
    <t>734737422940</t>
  </si>
  <si>
    <t>Fairfield Square Collection Austin 8-Pc. Reversible Comfor Red Full</t>
  </si>
  <si>
    <t>15977129V</t>
  </si>
  <si>
    <t>783048124760</t>
  </si>
  <si>
    <t>Pem America Floral Bouquet Full 8PC Comfor Purple Full</t>
  </si>
  <si>
    <t>BIB3546FU-3240</t>
  </si>
  <si>
    <t>840970158239</t>
  </si>
  <si>
    <t>Cathay Home Inc. Ultra Soft Reversible Crinkle Pale PinkWhite FullQueen</t>
  </si>
  <si>
    <t>KKDV3-001-FQ</t>
  </si>
  <si>
    <t>CATHAY HOME INC</t>
  </si>
  <si>
    <t>706258050087</t>
  </si>
  <si>
    <t>Charter Club Damask Supima Cotton 550-Threa Poppy Dark Coral Standard Pillowcases</t>
  </si>
  <si>
    <t>DLLSLSPCPOP</t>
  </si>
  <si>
    <t>840008370503</t>
  </si>
  <si>
    <t>Dr. Oz Good Life Dr. Oz Good Life Stay the Nigh White Standard</t>
  </si>
  <si>
    <t>OZGLSSHFSD</t>
  </si>
  <si>
    <t>32281259570</t>
  </si>
  <si>
    <t>Disney Disney Mickey Mouse Jersey Cla Red Standard</t>
  </si>
  <si>
    <t>JF25957ML</t>
  </si>
  <si>
    <t>735837576434</t>
  </si>
  <si>
    <t>Martha Stewart Collection Essentials Solid Comforter Ful PinkPurple FullQueen</t>
  </si>
  <si>
    <t>POLYESTER; POLYESTER FILL AND COVER</t>
  </si>
  <si>
    <t>735732570254</t>
  </si>
  <si>
    <t>VCNY Home Nyack 50x84 Panel Natural 50x84</t>
  </si>
  <si>
    <t>NCK-PNL-5084-IN-NATR</t>
  </si>
  <si>
    <t>732994072380</t>
  </si>
  <si>
    <t>Martha Stewart Collection Feels Like Down King Firm Pill White King</t>
  </si>
  <si>
    <t>10029647KG</t>
  </si>
  <si>
    <t>MARTHA STEWART-EDI/DOWNLITE</t>
  </si>
  <si>
    <t>732996459783</t>
  </si>
  <si>
    <t>Martha Stewart Collection Santa 20 x 30 Hooked Rug Blue Combo No Size</t>
  </si>
  <si>
    <t>PB-BTH-RUG/AC</t>
  </si>
  <si>
    <t>732996459776</t>
  </si>
  <si>
    <t>Martha Stewart Collection Snowman 20 x 30 Hooked Rug Blue Combo No Size</t>
  </si>
  <si>
    <t>29927517477</t>
  </si>
  <si>
    <t>Sun Zero Preston 40 x 84 Blackout Rod Pearl 40x84</t>
  </si>
  <si>
    <t>10482318852</t>
  </si>
  <si>
    <t>Todays Home Cotton Rich Tailored Twin XL B White Twin XL</t>
  </si>
  <si>
    <t>TOH24914WHIT06</t>
  </si>
  <si>
    <t>DROP: COTTON / POLYESTER; PLATFORM: POLYPROPYLENE</t>
  </si>
  <si>
    <t>80166504888</t>
  </si>
  <si>
    <t>Bacova Winslow 20 x 34 Accent Rug Multi</t>
  </si>
  <si>
    <t>50488E</t>
  </si>
  <si>
    <t>BACOVA GUILD LTD/RONILE INC</t>
  </si>
  <si>
    <t>732996151915</t>
  </si>
  <si>
    <t>Charter Club Damask Designs Textured Paisle Cobalt</t>
  </si>
  <si>
    <t>100058480ER</t>
  </si>
  <si>
    <t>29927245189</t>
  </si>
  <si>
    <t>No. 918 No. 918 Alison Floral Lace 58 Ivory 58x84</t>
  </si>
  <si>
    <t>733001040651</t>
  </si>
  <si>
    <t>Martha Stewart Collection 100 Cotton Flannel Pair of St Cloud Standard Pillowcases</t>
  </si>
  <si>
    <t>100020869SP</t>
  </si>
  <si>
    <t>680656163283</t>
  </si>
  <si>
    <t>Decopolitan Decopolitan 1-Inch Ball Telesc Bronze</t>
  </si>
  <si>
    <t>30409-BZ18</t>
  </si>
  <si>
    <t>32281247140</t>
  </si>
  <si>
    <t>Jay Franco Star Wars 2-Pack Squishy Pillo Multi Color</t>
  </si>
  <si>
    <t>JF24714MCD</t>
  </si>
  <si>
    <t>PRINTED VELBOA WITH SQUISHY FILL</t>
  </si>
  <si>
    <t>32281247102</t>
  </si>
  <si>
    <t>Jay Franco XO Minnie 2pk Squishy Pillow Multi Color</t>
  </si>
  <si>
    <t>JF24710MCD</t>
  </si>
  <si>
    <t>750105143781</t>
  </si>
  <si>
    <t>Martha Stewart Collection Essentials Quilted Standard Do White StandardQueen</t>
  </si>
  <si>
    <t>10022854QN</t>
  </si>
  <si>
    <t>ESSENTIALS BY MARTHA/DOWNLITE IN'TL</t>
  </si>
  <si>
    <t>810094031312</t>
  </si>
  <si>
    <t>Gravity Gravity Cooling Zippered Weigh White Twin</t>
  </si>
  <si>
    <t>GRVR07-0015</t>
  </si>
  <si>
    <t>GRAVITY/CPG.IO</t>
  </si>
  <si>
    <t>860002618494</t>
  </si>
  <si>
    <t>American Soft Linen American Soft Linen Mens and Gray Medium-Large</t>
  </si>
  <si>
    <t>B1-WSB-ML-GRI</t>
  </si>
  <si>
    <t>191790003149</t>
  </si>
  <si>
    <t>AQ Textiles T1000CVC Hemstitch King 4-Pc. Lt.teal King</t>
  </si>
  <si>
    <t>21362104376AQT</t>
  </si>
  <si>
    <t>812228038044</t>
  </si>
  <si>
    <t>Bare Home Bare Home Sherpa Fleece Blanke Navy One Size Fits All</t>
  </si>
  <si>
    <t>SHERPATHROW</t>
  </si>
  <si>
    <t>JP ECOMMERCE</t>
  </si>
  <si>
    <t>780870633064</t>
  </si>
  <si>
    <t>TARTINI BASIC</t>
  </si>
  <si>
    <t>10724PEB</t>
  </si>
  <si>
    <t>SFERRA FINE LINENS LLC</t>
  </si>
  <si>
    <t>MADE IN ITALY</t>
  </si>
  <si>
    <t>MERINO WOOL</t>
  </si>
  <si>
    <t>846339047664</t>
  </si>
  <si>
    <t>J Queen New York Napoleon Gold Queen Comforter Gold Queen</t>
  </si>
  <si>
    <t>1804030QCS</t>
  </si>
  <si>
    <t>728455932058</t>
  </si>
  <si>
    <t>M089 SELAH FULL/QUEE</t>
  </si>
  <si>
    <t>M089FQCOVWH</t>
  </si>
  <si>
    <t>883893533769</t>
  </si>
  <si>
    <t>LUSTER QUILT- BASIC</t>
  </si>
  <si>
    <t>VERA WANG/REVMAN INTERNATIONAL INC</t>
  </si>
  <si>
    <t>732999761999</t>
  </si>
  <si>
    <t>Hotel Collection Classic Grand Bouquet King Com Purple King</t>
  </si>
  <si>
    <t>100107433KG</t>
  </si>
  <si>
    <t>840008367282</t>
  </si>
  <si>
    <t>Dr. Oz Good Life Dr. Oz Good Life Sleep All Day White King</t>
  </si>
  <si>
    <t>OZGL20KK40FRGT</t>
  </si>
  <si>
    <t>679610813876</t>
  </si>
  <si>
    <t>Hallmart Collectibles Richland 14-Pc. Queen Comforte Silver Queen</t>
  </si>
  <si>
    <t>COMFORTER/SHAMS/BEDSKIRT/PILLOWS: POLYESTER (EXCLUSIVE OF DECORATION); POLYESTER FILL; THROW: ACRYLIC/POLYESTER; SHEETS: COTTON</t>
  </si>
  <si>
    <t>783048133076</t>
  </si>
  <si>
    <t>Christian Siriano New York Christian Siriano New York Sno BeigeKhaki King</t>
  </si>
  <si>
    <t>CS3769TNKG-1700</t>
  </si>
  <si>
    <t>CHRISTIAN SIRIANO HOME/PEM AMERICA</t>
  </si>
  <si>
    <t>675716929640</t>
  </si>
  <si>
    <t>Madison Park Donovan 7-Pc. Medallion Jacqua Navy Queen</t>
  </si>
  <si>
    <t>MP10-4344</t>
  </si>
  <si>
    <t>86569349279</t>
  </si>
  <si>
    <t>Addison Park Brystol blue Queen 9pc Comfort Blue Brown Queen</t>
  </si>
  <si>
    <t>MCH10-1705</t>
  </si>
  <si>
    <t>608381351560</t>
  </si>
  <si>
    <t>SOLID CK SS ORCH 500 BASIC</t>
  </si>
  <si>
    <t>IVY4QNSS</t>
  </si>
  <si>
    <t>SKY TEXTILES-BLM</t>
  </si>
  <si>
    <t>PIMA COTTON</t>
  </si>
  <si>
    <t>732998706700</t>
  </si>
  <si>
    <t>HP 800TC KG FT CL</t>
  </si>
  <si>
    <t>8ESCLKGFT79</t>
  </si>
  <si>
    <t>KGBOTTOMFT</t>
  </si>
  <si>
    <t>HUDSON PARK-EDI/RWI/VTX</t>
  </si>
  <si>
    <t>100% EGYPTIAN COTTON</t>
  </si>
  <si>
    <t>96675700826</t>
  </si>
  <si>
    <t>SensorGel Cool Coat Arctic Gusset Gel In White King</t>
  </si>
  <si>
    <t>860002618319</t>
  </si>
  <si>
    <t>American Soft Linen American Soft Linen 6 Piece To Gray Towel Sets</t>
  </si>
  <si>
    <t>ANT-6PC-GRI</t>
  </si>
  <si>
    <t>706257908211</t>
  </si>
  <si>
    <t>Martha Stewart Collection You Compleat Me White 2-Pc. Tw Grey Twin</t>
  </si>
  <si>
    <t>UCMPLTGTWC</t>
  </si>
  <si>
    <t>877512006178</t>
  </si>
  <si>
    <t>Cathay Home Inc. Ultimate Luxury Reversible Mic Pewter Queen</t>
  </si>
  <si>
    <t>108267-PEW-Q</t>
  </si>
  <si>
    <t>FAUX SHERPA</t>
  </si>
  <si>
    <t>675716836948</t>
  </si>
  <si>
    <t>Beautyrest Electric Snuggle 50 x 64 Plu Grey 50x64</t>
  </si>
  <si>
    <t>BR58-0755</t>
  </si>
  <si>
    <t>FACE: 200GSM 100% POLYESTER SOLID MICROLIGHT; BACK: 220GSM 100% POLYESTER MICRO BERBER</t>
  </si>
  <si>
    <t>788904802035</t>
  </si>
  <si>
    <t>Serta White Goose Feather And Down F White King</t>
  </si>
  <si>
    <t>SE201514K</t>
  </si>
  <si>
    <t>734737621565</t>
  </si>
  <si>
    <t>Sunham Upstate Plaid Cotton Robe BlackRed ONE SIZE</t>
  </si>
  <si>
    <t>R21527N212OS</t>
  </si>
  <si>
    <t>733001710431</t>
  </si>
  <si>
    <t>Charter Club Cotton 325-Thread Count 4-Pc. Grey King</t>
  </si>
  <si>
    <t>100110502KG</t>
  </si>
  <si>
    <t>INDOCOUNT/MMG-CHARTER CLUB</t>
  </si>
  <si>
    <t>86569205834</t>
  </si>
  <si>
    <t>Martha Stewart Collection Down Alternative Reverse to Pl White King</t>
  </si>
  <si>
    <t>10028644KG</t>
  </si>
  <si>
    <t>733001487470</t>
  </si>
  <si>
    <t>Martha Stewart Collection Whim By Martha Stewart Collect Brunch Queen</t>
  </si>
  <si>
    <t>100103336QN</t>
  </si>
  <si>
    <t>733001487418</t>
  </si>
  <si>
    <t>Martha Stewart Collection Whim By Martha Stewart Collect NYC Queen</t>
  </si>
  <si>
    <t>100103335QN</t>
  </si>
  <si>
    <t>732998706816</t>
  </si>
  <si>
    <t>HP 800TC S PC IV</t>
  </si>
  <si>
    <t>8ESIVSTPC79</t>
  </si>
  <si>
    <t>EGYPTIAN COTTON</t>
  </si>
  <si>
    <t>635983499116</t>
  </si>
  <si>
    <t>Ella Jayne Soft Plush Gel Fiber Filled Al White Queen</t>
  </si>
  <si>
    <t>BMI9453L3</t>
  </si>
  <si>
    <t>QUEEN</t>
  </si>
  <si>
    <t>SHELL: 220 THREAD COUNT POLYESTER MICROFIBER, FILL: 100% POLY FIBER FINE GEL FIBERS</t>
  </si>
  <si>
    <t>877512007304</t>
  </si>
  <si>
    <t>Cathay Home Inc. All Season Peach Skin Reversib Sagecream Twin</t>
  </si>
  <si>
    <t>REVCM-T-SC</t>
  </si>
  <si>
    <t>MED GREEN</t>
  </si>
  <si>
    <t>788904113193</t>
  </si>
  <si>
    <t>Royal Luxe Royal Luxe Microfiber Color Do Turquouise King</t>
  </si>
  <si>
    <t>COVER: POLYESTER; FILL: HYP-ALLERGENIC POLYESTER FIBERFILL</t>
  </si>
  <si>
    <t>788904130671</t>
  </si>
  <si>
    <t>Royal Luxe Royal Luxe Microfiber Color Do White King</t>
  </si>
  <si>
    <t>732996250014</t>
  </si>
  <si>
    <t>Charter Club 360 Down Chamber Soft Standard White Standard</t>
  </si>
  <si>
    <t>100069245SQ</t>
  </si>
  <si>
    <t>788904002428</t>
  </si>
  <si>
    <t>Kathy Ireland Kathy Ireland Home Essentials White Queen</t>
  </si>
  <si>
    <t>KI709624</t>
  </si>
  <si>
    <t>POLYESTER MICROFIBER; POLYESTER FILL</t>
  </si>
  <si>
    <t>854130004212</t>
  </si>
  <si>
    <t>Morning Glamour Signature Box 2 Pack Satin Pil Silver Standard Pillowcases</t>
  </si>
  <si>
    <t>PILLOWCASE2PACK</t>
  </si>
  <si>
    <t>MORNING GLAMOUR/TCG CONTINUUM LLC</t>
  </si>
  <si>
    <t>100% SATIN CHARMEUSE POLYESTER</t>
  </si>
  <si>
    <t>766195441799</t>
  </si>
  <si>
    <t>Tommy Hilfiger Tommy Hilfiger Solid Core Pair Seagrass Standard Pillowcases</t>
  </si>
  <si>
    <t>TH5563</t>
  </si>
  <si>
    <t>200-THREAD COUNT COTTON PERCALE</t>
  </si>
  <si>
    <t>732995601855</t>
  </si>
  <si>
    <t>HP 680 S PC SILVER</t>
  </si>
  <si>
    <t>100050568SD</t>
  </si>
  <si>
    <t>100% SUPIMA COTTON SATEEN</t>
  </si>
  <si>
    <t>32281181567</t>
  </si>
  <si>
    <t>Disney 2-Pc. Travel Blanket Santa H Disney Frozen Standard</t>
  </si>
  <si>
    <t>JF18156</t>
  </si>
  <si>
    <t>706258615576</t>
  </si>
  <si>
    <t>Martha Stewart Collection Essentials Classic Quilted Que White Queen</t>
  </si>
  <si>
    <t>100058088QN</t>
  </si>
  <si>
    <t>706258615880</t>
  </si>
  <si>
    <t>Martha Stewart Collection Essentials Quilted Waterproof White Queen</t>
  </si>
  <si>
    <t>100058089QN</t>
  </si>
  <si>
    <t>32281245986</t>
  </si>
  <si>
    <t>Disney Disney Pillow Buddy Disney Frozen 2 Elsa Standard</t>
  </si>
  <si>
    <t>JF24598</t>
  </si>
  <si>
    <t>651896642807</t>
  </si>
  <si>
    <t>Morgan Home Buffalo Stag Gray 3 PC Decorat Buffalo Stag</t>
  </si>
  <si>
    <t>M642807</t>
  </si>
  <si>
    <t>86569348272</t>
  </si>
  <si>
    <t>JLA Home JLA Home Isobelle 72x 72 Sho Multi No Size</t>
  </si>
  <si>
    <t>MCH70-1689</t>
  </si>
  <si>
    <t>86569930637</t>
  </si>
  <si>
    <t>JLA Home Hotel Glass Soap Dish, Created Soap Dish</t>
  </si>
  <si>
    <t>MCH71-486</t>
  </si>
  <si>
    <t>32281252151</t>
  </si>
  <si>
    <t>Disney Star Wars Empire 40th Annivers Star Wars Empire</t>
  </si>
  <si>
    <t>JF25215</t>
  </si>
  <si>
    <t>728455984538</t>
  </si>
  <si>
    <t>T320 MILAGRO WASH CL</t>
  </si>
  <si>
    <t>T320WTOWPJ</t>
  </si>
  <si>
    <t>LONG STAPLE COTTON</t>
  </si>
  <si>
    <t>400011639433</t>
  </si>
  <si>
    <t>DOMESTICS</t>
  </si>
  <si>
    <t>685693921704</t>
  </si>
  <si>
    <t>Colcha Linens Cambric Eggplant Duvet Cover-K Purple King</t>
  </si>
  <si>
    <t>CM-DN-EG-KG-23</t>
  </si>
  <si>
    <t>COLCHA LINENS INC</t>
  </si>
  <si>
    <t>750105134437</t>
  </si>
  <si>
    <t>Charter Club European White Down Medium Wei White King</t>
  </si>
  <si>
    <t>FEDC0820WK</t>
  </si>
  <si>
    <t>679610808025</t>
  </si>
  <si>
    <t>Hallmart Collectibles Andalucia 14-Pc. King Comforte Seafoam King</t>
  </si>
  <si>
    <t>COMFORTER/PILLOWS/SHAMS/BEDSKIRT: POLYESTER (EXCLUSIVE OF DECORATION); POLYESTER FILL 270 GRAMS PER SQUARE METER; THROW: ACRYLIC/POLYESTER; SHEETS: COTTON</t>
  </si>
  <si>
    <t>817836010895</t>
  </si>
  <si>
    <t>Jennifer Adams Home Jennifer Adams Eternal Collect Taupe Queen</t>
  </si>
  <si>
    <t>JENNIFER ADAMS MANUFACTURING INC</t>
  </si>
  <si>
    <t>732998775263</t>
  </si>
  <si>
    <t>Hotel Collection CLOSEOUT Hotel Collection Hon Mink FullQueen</t>
  </si>
  <si>
    <t>100077700FQ</t>
  </si>
  <si>
    <t>675716382704</t>
  </si>
  <si>
    <t>Madison Park Freeport 7-Pc. Queen Comforter Green Queen</t>
  </si>
  <si>
    <t>MP10-233</t>
  </si>
  <si>
    <t>COMFORTER AND SHAMS: POLYESTER; BEDSKIRT DROP: POLYESTER; POLYPROPYLENE PLATFORM; DECORATIVE PILLOWS: POLYESTER; POLYESTER FILL; COMFORTER FILL: POLYESTER 270 GRAMS PER SQUARE METER</t>
  </si>
  <si>
    <t>706258633518</t>
  </si>
  <si>
    <t>Charter Club Damask Designs Diamond Dot 300 White FullQueen</t>
  </si>
  <si>
    <t>DCF2FQDOTW</t>
  </si>
  <si>
    <t>732999126972</t>
  </si>
  <si>
    <t>Martha Stewart Collection Vintage Folklore King Quilt Blue KingCalifornia King</t>
  </si>
  <si>
    <t>100079760KG</t>
  </si>
  <si>
    <t>732995157871</t>
  </si>
  <si>
    <t>Charter Club Damask Cotton 210-Thread Count Sunglow FullQueen</t>
  </si>
  <si>
    <t>DSKQLTCFQSUN</t>
  </si>
  <si>
    <t>732999069378</t>
  </si>
  <si>
    <t>Martha Stewart Collection Buffalo Plaid Yarn Dye FullQu Red FullQueen</t>
  </si>
  <si>
    <t>100079755FQ</t>
  </si>
  <si>
    <t>732998408680</t>
  </si>
  <si>
    <t>Martha Stewart Collection Reversible Poppy Flora Yarn Dy Blue FullQueen</t>
  </si>
  <si>
    <t>100082703FQ</t>
  </si>
  <si>
    <t>96675723115</t>
  </si>
  <si>
    <t>SensorGel Arctic Nights 20x Cooler Memor White</t>
  </si>
  <si>
    <t>840008369873</t>
  </si>
  <si>
    <t>Dr. Oz Good Life Dr. Oz Good Life Sleeping with White Standard</t>
  </si>
  <si>
    <t>OZGLSS3L90DD</t>
  </si>
  <si>
    <t>840970158529</t>
  </si>
  <si>
    <t>Cathay Home Inc. Enzyme Washed Crinkle Quilt Se Navy KingCalifornia King</t>
  </si>
  <si>
    <t>KKQLT3-001-KCK</t>
  </si>
  <si>
    <t>732998408734</t>
  </si>
  <si>
    <t>Martha Stewart Collection Garden Floral FullQueen Quilt Blue FullQueen</t>
  </si>
  <si>
    <t>100082701FQ</t>
  </si>
  <si>
    <t>766195463616</t>
  </si>
  <si>
    <t>Tommy Hilfiger Broadmoor Cotton Floral Europe Cream European Sham</t>
  </si>
  <si>
    <t>086758TH002</t>
  </si>
  <si>
    <t>780870656865</t>
  </si>
  <si>
    <t>BELLO BASIC</t>
  </si>
  <si>
    <t>775BTH30X60WHT</t>
  </si>
  <si>
    <t>DARKPURPLE</t>
  </si>
  <si>
    <t>706258051121</t>
  </si>
  <si>
    <t>Charter Club Damask Stripe Supima Cotton 55 White Twin</t>
  </si>
  <si>
    <t>DLLSTTWSWHT</t>
  </si>
  <si>
    <t>766195314567</t>
  </si>
  <si>
    <t>Tommy Hilfiger Tommy Hilfiger Solid Core Full Marshmallow Full</t>
  </si>
  <si>
    <t>TH0875</t>
  </si>
  <si>
    <t>846339047695</t>
  </si>
  <si>
    <t>J Queen New York Gold Napoleon Waterfall Valanc Gold No Size</t>
  </si>
  <si>
    <t>1804030WTRSW</t>
  </si>
  <si>
    <t>883893562882</t>
  </si>
  <si>
    <t>Poppy Fritz Topper Duvet Cover Set, FullQ Navy FullQueen</t>
  </si>
  <si>
    <t>USHSFQ1061566</t>
  </si>
  <si>
    <t>POPPY &amp; FRITZ/REVMAN INTERNATIONAL</t>
  </si>
  <si>
    <t>734737634893</t>
  </si>
  <si>
    <t>Sunham T500 CVC Printed Queen Sheet S White Queen</t>
  </si>
  <si>
    <t>706256793627</t>
  </si>
  <si>
    <t>Hotel Collection Connection Quilted European Sh Ivory European Sham</t>
  </si>
  <si>
    <t>CO27QE790</t>
  </si>
  <si>
    <t>8681864062797</t>
  </si>
  <si>
    <t>Ambesonne Ambesonne Marble Bath Mat Orange No Size</t>
  </si>
  <si>
    <t>BATH-41135</t>
  </si>
  <si>
    <t>3DECOR LLC</t>
  </si>
  <si>
    <t>733001040934</t>
  </si>
  <si>
    <t>Martha Stewart Collection Printed Cotton Flannel 3-Pc. T Cardinal TwinTwin XL</t>
  </si>
  <si>
    <t>100094876TW</t>
  </si>
  <si>
    <t>732999603527</t>
  </si>
  <si>
    <t>Martha Stewart Collection Reversible Plaid King Comforte Khaki Plaid King</t>
  </si>
  <si>
    <t>706255241785</t>
  </si>
  <si>
    <t>Hotel Collection Ethereal 300 Thread Count Quil Teal European Sham</t>
  </si>
  <si>
    <t>100041810ER</t>
  </si>
  <si>
    <t>726895187908</t>
  </si>
  <si>
    <t>Martha Stewart Collection Nautical Stripe Standard Sham Blue Standard Sham</t>
  </si>
  <si>
    <t>100039546ST</t>
  </si>
  <si>
    <t>636193166232</t>
  </si>
  <si>
    <t>Martha Stewart Collection Cotton Terry Bath Robe Frozen Pond ONE SIZE</t>
  </si>
  <si>
    <t>MARTHA STEWART-EDI/TRIDENT</t>
  </si>
  <si>
    <t>25695970032</t>
  </si>
  <si>
    <t>AAFA MEMO FIRM JBO</t>
  </si>
  <si>
    <t>HOLLANDER SLEEP PRODUCTS</t>
  </si>
  <si>
    <t>732998428664</t>
  </si>
  <si>
    <t>Charter Club Embroidered Geometric 210-Thre Sunglow Yellow 18x18</t>
  </si>
  <si>
    <t>GEODECSUN</t>
  </si>
  <si>
    <t>675716760366</t>
  </si>
  <si>
    <t>Madison Park Madison Park Pacifica 20 x 20 Taupe 20x20</t>
  </si>
  <si>
    <t>MP30-2833</t>
  </si>
  <si>
    <t>LT/PAS BWN</t>
  </si>
  <si>
    <t>PILLOW COVER:100% POLYESTER YARN DYE WOVEN WITH 3M SCOTCHGARD TREATMENT; 100% POLYPROPYLENE NON-WOVEN FIBER LINING; 100% POLYESTER FILLING</t>
  </si>
  <si>
    <t>732998002956</t>
  </si>
  <si>
    <t>Hotel Collection Gusset Cotton 300-Thread Count White Standard</t>
  </si>
  <si>
    <t>100088541SQ</t>
  </si>
  <si>
    <t>732995749182</t>
  </si>
  <si>
    <t>Martha Stewart Collection Tufted Chambray Standard Sham Grey Standard Sham</t>
  </si>
  <si>
    <t>100047302ST</t>
  </si>
  <si>
    <t>732998000259</t>
  </si>
  <si>
    <t>Charter Club Continuous Comfort Soft King P White King</t>
  </si>
  <si>
    <t>100085911KG</t>
  </si>
  <si>
    <t>732999837632</t>
  </si>
  <si>
    <t>Martha Stewart Collection Carved Sherpa Throw Created F Ivory Throw</t>
  </si>
  <si>
    <t>732998408666</t>
  </si>
  <si>
    <t>Martha Stewart Collection Reversible Diamond Floral Patc White Standard Sham</t>
  </si>
  <si>
    <t>100082693ST</t>
  </si>
  <si>
    <t>25521176256</t>
  </si>
  <si>
    <t>Calvin Klein Clover Print Pillow Pack No Color</t>
  </si>
  <si>
    <t>CALVIN KLEIN/HOLLANDER SLEEP PROD</t>
  </si>
  <si>
    <t>230-THREAD COUNT COTTON; POLYESTER DOWN-ALTERNATIVE FILL</t>
  </si>
  <si>
    <t>608381318686</t>
  </si>
  <si>
    <t>Martha Stewart Collection Yarn Dye Standard Sham Multi Standard Sham</t>
  </si>
  <si>
    <t>YDBS1ST</t>
  </si>
  <si>
    <t>732998000211</t>
  </si>
  <si>
    <t>Charter Club Euro Down Alternative 300-Thre White European</t>
  </si>
  <si>
    <t>100085913ER</t>
  </si>
  <si>
    <t>732999126989</t>
  </si>
  <si>
    <t>Martha Stewart Collection Vintage Folklore Quilted Stand Blue Standard Sham</t>
  </si>
  <si>
    <t>100079760ST</t>
  </si>
  <si>
    <t>706254463041</t>
  </si>
  <si>
    <t>Hotel Collection Ultimate MicroCotton 30 x 5 Jade Bath Towels</t>
  </si>
  <si>
    <t>HTLMCBJDE</t>
  </si>
  <si>
    <t>86569389091</t>
  </si>
  <si>
    <t>JLA Home Decor Studio Santa with Snow G Red ONE SIZE</t>
  </si>
  <si>
    <t>MCH71-2116</t>
  </si>
  <si>
    <t>766195416636</t>
  </si>
  <si>
    <t>Tommy Hilfiger Firm-Density StandardQueen Pi White StandardQueen</t>
  </si>
  <si>
    <t>TH1628748</t>
  </si>
  <si>
    <t>TOMMY HILFIGER HOME/HIMATSINGKA</t>
  </si>
  <si>
    <t>734737534940</t>
  </si>
  <si>
    <t>Sunham Soft Spun Cotton Bath Towel Light Tan Bath Towels</t>
  </si>
  <si>
    <t>T18437N5282752</t>
  </si>
  <si>
    <t>86569383075</t>
  </si>
  <si>
    <t>Premier Comfort Sherpa plaid King comforter mi Plaid Blue King</t>
  </si>
  <si>
    <t>MCH10-2071</t>
  </si>
  <si>
    <t>813538024086</t>
  </si>
  <si>
    <t>PREMIUM GEO SKIRT</t>
  </si>
  <si>
    <t>728455984491</t>
  </si>
  <si>
    <t>T320WTOWBA</t>
  </si>
  <si>
    <t>735837574188</t>
  </si>
  <si>
    <t>Hotel Collection European White Goose Down Medi White King</t>
  </si>
  <si>
    <t>HWGDKM06</t>
  </si>
  <si>
    <t>675716865771</t>
  </si>
  <si>
    <t>Sleep Philosophy Flexapedic 3 Gel Memory Foam White Queen</t>
  </si>
  <si>
    <t>BASI16-0478</t>
  </si>
  <si>
    <t>96675615335</t>
  </si>
  <si>
    <t>SensorGel Sensor Gel Smart Zone 3-Inch Q White Queen</t>
  </si>
  <si>
    <t>735732429972</t>
  </si>
  <si>
    <t>VCNY Home Gabrielle 14-Pc. Queen Comfort Blue Queen</t>
  </si>
  <si>
    <t>GABQUBK</t>
  </si>
  <si>
    <t>679610808018</t>
  </si>
  <si>
    <t>Hallmart Collectibles Andalucia 14-Pc. Queen Comfort Seafoam Queen</t>
  </si>
  <si>
    <t>734737636927</t>
  </si>
  <si>
    <t>Sunham Huntington Red K CS Red King</t>
  </si>
  <si>
    <t>850009689016</t>
  </si>
  <si>
    <t>BLISSY BLISSY 22-Momme Silk Pillowcas Off-white King</t>
  </si>
  <si>
    <t>PID200</t>
  </si>
  <si>
    <t>BLISSY LLC</t>
  </si>
  <si>
    <t>SILK</t>
  </si>
  <si>
    <t>732998868750</t>
  </si>
  <si>
    <t>Martha Stewart Collection Artisan Bluebell Patchwork Rev Blue TwinTwin XL</t>
  </si>
  <si>
    <t>100082674TW</t>
  </si>
  <si>
    <t>732997716281</t>
  </si>
  <si>
    <t>Martha Stewart Collection Wedding Rings Queen Bedspread Maroon Full</t>
  </si>
  <si>
    <t>100070850QN</t>
  </si>
  <si>
    <t>657812169809</t>
  </si>
  <si>
    <t>Biddeford Comfort Knit Fleece Electric Q Fawn Queen</t>
  </si>
  <si>
    <t>1003-9052277706</t>
  </si>
  <si>
    <t>MED BROWN</t>
  </si>
  <si>
    <t>706258089759</t>
  </si>
  <si>
    <t>Charter Club Damask Supima Cotton 550-Threa Medium Ivory King</t>
  </si>
  <si>
    <t>DLLSLKGSIVR</t>
  </si>
  <si>
    <t>675716832797</t>
  </si>
  <si>
    <t>Madison Park Signature Solid 8-Pc. Towel Se Brown No Size</t>
  </si>
  <si>
    <t>MPS73-196</t>
  </si>
  <si>
    <t>100% COTTON; 800GSM</t>
  </si>
  <si>
    <t>191790024496</t>
  </si>
  <si>
    <t>Fairfield Square Collection Brookline 1400-Thread Count 6- Light Grey King</t>
  </si>
  <si>
    <t>23302104200AQT</t>
  </si>
  <si>
    <t>191790024359</t>
  </si>
  <si>
    <t>Fairfield Square Collection Brookline 1400-Thread Count 6- White King</t>
  </si>
  <si>
    <t>23302104001AQT</t>
  </si>
  <si>
    <t>651896639951</t>
  </si>
  <si>
    <t>Morgan Home Shannon 3pc King Comforter Set Taupe King</t>
  </si>
  <si>
    <t>M639951</t>
  </si>
  <si>
    <t>733001040637</t>
  </si>
  <si>
    <t>Martha Stewart Collection 100 Cotton Flannel 4-Pc. Quee Haute Red Queen</t>
  </si>
  <si>
    <t>734737619739</t>
  </si>
  <si>
    <t>Fairfield Square Collection Odyssey Reversible 8-Pc. Comfo Blue King</t>
  </si>
  <si>
    <t>816651022786</t>
  </si>
  <si>
    <t>ienjoy Home The Timeless Classics by Home Aqua Soft Vines California King</t>
  </si>
  <si>
    <t>4PVINECKIENJ</t>
  </si>
  <si>
    <t>812091030763</t>
  </si>
  <si>
    <t>Tadpoles Tadpoles 3-Piece Twin Sheet Se Grey Twin</t>
  </si>
  <si>
    <t>TWS3MF123</t>
  </si>
  <si>
    <t>RTJUMBOFIT</t>
  </si>
  <si>
    <t>TADPOLE HOME/SLEEPING PARTNER INTL</t>
  </si>
  <si>
    <t>100% MICROFIBER POLYESTER</t>
  </si>
  <si>
    <t>838810004402</t>
  </si>
  <si>
    <t>simplehuman 10 Liter Profile Step Trash Ca Brushed</t>
  </si>
  <si>
    <t>CW1180</t>
  </si>
  <si>
    <t>BRUSHED STEEL CAN; PLASTIC LID</t>
  </si>
  <si>
    <t>816651029006</t>
  </si>
  <si>
    <t>ienjoy Home Tranquil Sleep Patterned Duvet Grey Vine Trellis FullQueen</t>
  </si>
  <si>
    <t>DUVVTRQIENJ</t>
  </si>
  <si>
    <t>628961000404</t>
  </si>
  <si>
    <t>Kensington Garden Norwich 50 x 60 Knitted Pom Blush 50x60</t>
  </si>
  <si>
    <t>JET9193</t>
  </si>
  <si>
    <t>190714309183</t>
  </si>
  <si>
    <t>Lacourte Mavis 20 x 20 Decorative Pil Multi 20x20</t>
  </si>
  <si>
    <t>Units</t>
  </si>
  <si>
    <t>Value</t>
  </si>
  <si>
    <t>UPC</t>
  </si>
  <si>
    <t>ITEM DESCRIPTION</t>
  </si>
  <si>
    <t>ORIGINAL QTY</t>
  </si>
  <si>
    <t>TOTAL ORIGINAL RETAIL</t>
  </si>
  <si>
    <t>VENDOR / STYLE #</t>
  </si>
  <si>
    <t>COLOR</t>
  </si>
  <si>
    <t>SIZE</t>
  </si>
  <si>
    <t>DEPARTMENT NAME</t>
  </si>
  <si>
    <t>VENDOR NAME</t>
  </si>
  <si>
    <t>COUNTRY OF ORIGIN</t>
  </si>
  <si>
    <t>FABRIC CONTENT</t>
  </si>
  <si>
    <t>IMAGE</t>
  </si>
  <si>
    <t>883893612327</t>
  </si>
  <si>
    <t>Nautica Saybrook King Comforter Set Beige King</t>
  </si>
  <si>
    <t>USHSA51119660</t>
  </si>
  <si>
    <t>BROWN</t>
  </si>
  <si>
    <t>YOUNG CL HOME</t>
  </si>
  <si>
    <t>NAUTICA/REVMAN INTERNATIONAL</t>
  </si>
  <si>
    <t>IMPORTED</t>
  </si>
  <si>
    <t>COMFORTER AND SHAM: COTTON; FILL: POLYESTER</t>
  </si>
  <si>
    <t>80313026690</t>
  </si>
  <si>
    <t>Bell Howell Bell Howell 15 Lb. Pleasure Grey King</t>
  </si>
  <si>
    <t>EM2669</t>
  </si>
  <si>
    <t>GRAY</t>
  </si>
  <si>
    <t>PB BLANKETS</t>
  </si>
  <si>
    <t>E MISHAN &amp; SONS</t>
  </si>
  <si>
    <t>OUTER SHELL: POLYESTERFILLING: GLASS BEADS 8% POLYESTER</t>
  </si>
  <si>
    <t>732999290314</t>
  </si>
  <si>
    <t>Hotel Collection Hotel Collection Bedford Geo K Wheat King</t>
  </si>
  <si>
    <t>100099754KG</t>
  </si>
  <si>
    <t>GOLD</t>
  </si>
  <si>
    <t>KGCOMFORTE</t>
  </si>
  <si>
    <t>HOTEL LUX BDG</t>
  </si>
  <si>
    <t>HOTEL COLLECTION-EDI/RWI/PACFUNG</t>
  </si>
  <si>
    <t>732997233412</t>
  </si>
  <si>
    <t>Hotel Collection Hotel Collection Basic Grid Fu White FullQueen</t>
  </si>
  <si>
    <t>100051703QN</t>
  </si>
  <si>
    <t>WHITE</t>
  </si>
  <si>
    <t>HOTEL BY CHARTER CLUB-MMG</t>
  </si>
  <si>
    <t>COTTON/POLYESTER</t>
  </si>
  <si>
    <t>732996618722</t>
  </si>
  <si>
    <t>Martha Stewart Collection Wedding Rings Blue Twin Quilt Medium Blue TwinTwin XL</t>
  </si>
  <si>
    <t>100070851TW</t>
  </si>
  <si>
    <t>MED BLUE</t>
  </si>
  <si>
    <t>PB SEASON BED</t>
  </si>
  <si>
    <t>MARTHA STEWART-MMG/COLLECTION 43417</t>
  </si>
  <si>
    <t>732995157888</t>
  </si>
  <si>
    <t>Charter Club Damask Cotton 210-Thread Count Sunglow King</t>
  </si>
  <si>
    <t>DSKQLTCKGSUN</t>
  </si>
  <si>
    <t>LT/PAS YEL</t>
  </si>
  <si>
    <t>CC MOD BEDDNG</t>
  </si>
  <si>
    <t>CHARTER CLUB-EDI/RWI/VTX</t>
  </si>
  <si>
    <t>726895187083</t>
  </si>
  <si>
    <t>Martha Stewart Collection Nautical Stripe FullQueen Qui Blue FullQueen</t>
  </si>
  <si>
    <t>100039545FQ</t>
  </si>
  <si>
    <t>NAVY</t>
  </si>
  <si>
    <t>732996347479</t>
  </si>
  <si>
    <t>Martha Stewart Collection Drip Drop 180-Thread Count 3-P White King</t>
  </si>
  <si>
    <t>100069334KG</t>
  </si>
  <si>
    <t>MRTH STWRT WH</t>
  </si>
  <si>
    <t>MARTHA STEWART-EDI/YUNUS TEXTILES</t>
  </si>
  <si>
    <t>COMFORTER AND SHAMS: COTTON; FILL: POLYESTER</t>
  </si>
  <si>
    <t>732996149035</t>
  </si>
  <si>
    <t>Martha Stewart Collection Chenille Dot 3-Pc. FullQueen White FullQueen</t>
  </si>
  <si>
    <t>100039057FQ</t>
  </si>
  <si>
    <t>MMG-MARTHA STEWART-EDI/SUNHAM HOME</t>
  </si>
  <si>
    <t>FABRIC: COTTON; THREAD COUNT: 110; POLYESTER FILL (COMFORTER)</t>
  </si>
  <si>
    <t>679610813678</t>
  </si>
  <si>
    <t>Hallmart Collectibles Vina 8-Pc. Floral Queen Comfor Ivory Queen</t>
  </si>
  <si>
    <t>NATURAL</t>
  </si>
  <si>
    <t>MOD BEDDING</t>
  </si>
  <si>
    <t>HALLMART COLLECTIBLES INC</t>
  </si>
  <si>
    <t>FABRIC: POLYESTER (EXCLUSIVE OF DECORATION); FILL: POLYESTER</t>
  </si>
  <si>
    <t>706258050827</t>
  </si>
  <si>
    <t>Charter Club Damask Stripe Supima Cotton 55 Vapor Light Blue Queen</t>
  </si>
  <si>
    <t>DLLSTQNSVAP</t>
  </si>
  <si>
    <t>LT/PASBLUE</t>
  </si>
  <si>
    <t>SUPIMA COTTON</t>
  </si>
  <si>
    <t>844353996326</t>
  </si>
  <si>
    <t>Rizzy Home Rizzy Home 20 x 20 Geometric Blue</t>
  </si>
  <si>
    <t>PILT13970NTOR2020</t>
  </si>
  <si>
    <t>NO SIZE</t>
  </si>
  <si>
    <t>DEC PILL/THRW</t>
  </si>
  <si>
    <t>RIZZY HOME/RIZTEX USA INC</t>
  </si>
  <si>
    <t>100% COTTON</t>
  </si>
  <si>
    <t>733001365884</t>
  </si>
  <si>
    <t>Martha Stewart Collection Plaid Percale 3-Piece FullQue Red FullQueen</t>
  </si>
  <si>
    <t>100100879FQ</t>
  </si>
  <si>
    <t>RED</t>
  </si>
  <si>
    <t>732999832934</t>
  </si>
  <si>
    <t>Martha Stewart Collection Farmstead Floral Patchwork Ful Red FullQueen</t>
  </si>
  <si>
    <t>100103967FQ</t>
  </si>
  <si>
    <t>DARK RED</t>
  </si>
  <si>
    <t>706258050551</t>
  </si>
  <si>
    <t>Charter Club Damask Stripe Supima Cotton 55 Smoke Grey Full</t>
  </si>
  <si>
    <t>DLLSTFLSSMO</t>
  </si>
  <si>
    <t>LT/PAS GRY</t>
  </si>
  <si>
    <t>46249614134</t>
  </si>
  <si>
    <t>Tommy Hilfiger Patrol European Sham Grey European Sham</t>
  </si>
  <si>
    <t>19T0372-SM-G1-D4</t>
  </si>
  <si>
    <t>TOMMY HILFIGER/HIMATSINGKA AMERICA</t>
  </si>
  <si>
    <t>733001281740</t>
  </si>
  <si>
    <t>Martha Stewart Collection Textured Faux Fur Throw Grey 60 X 50</t>
  </si>
  <si>
    <t>MED GRAY</t>
  </si>
  <si>
    <t>VALA78X7</t>
  </si>
  <si>
    <t>DEC PIL/THRWS</t>
  </si>
  <si>
    <t>MARTHA STEWART-MMG/MSLO-THROWS</t>
  </si>
  <si>
    <t>734737620261</t>
  </si>
  <si>
    <t>Sunham Paris 12-Pc. Reversible Comfor Gray King</t>
  </si>
  <si>
    <t>SUNHAM CO USA</t>
  </si>
  <si>
    <t>POLYESTER</t>
  </si>
  <si>
    <t>732998111634</t>
  </si>
  <si>
    <t>Hotel Collection Hotel Collection Classic Seren Blue Queen</t>
  </si>
  <si>
    <t>100088867QN</t>
  </si>
  <si>
    <t>732999786473</t>
  </si>
  <si>
    <t>Hotel Collection Platinum Down Medium Standard White Standard</t>
  </si>
  <si>
    <t>100106170SQ</t>
  </si>
  <si>
    <t>PILLOWS &amp; PAD</t>
  </si>
  <si>
    <t>HOTEL BY CHARTER CLUB-EDI/DOWNLITE</t>
  </si>
  <si>
    <t>646760120932</t>
  </si>
  <si>
    <t>French Connection French Connection Evening Mist Dark Grey</t>
  </si>
  <si>
    <t>FCMAP000123</t>
  </si>
  <si>
    <t>DARK GRAY</t>
  </si>
  <si>
    <t>FRENCH CONNECTION/YMF CARPET INC</t>
  </si>
  <si>
    <t>810031411214</t>
  </si>
  <si>
    <t>Battilo Battilo Knit Zig Zag Textured Gray NO SIZE</t>
  </si>
  <si>
    <t>BTL15025-L-GREY</t>
  </si>
  <si>
    <t>SILVER</t>
  </si>
  <si>
    <t>HAPPYCARE TEXTILES INC</t>
  </si>
  <si>
    <t>POLYESTER, ACRYLIC</t>
  </si>
  <si>
    <t>675716325626</t>
  </si>
  <si>
    <t>Madison Park Essentials Premier Comfort Satin 6-Pc. Ki Black King</t>
  </si>
  <si>
    <t>SHET20-174</t>
  </si>
  <si>
    <t>BLACK</t>
  </si>
  <si>
    <t>SHEETS &amp;CASES</t>
  </si>
  <si>
    <t>PREMIER COMFORT/E &amp; E CO LTD</t>
  </si>
  <si>
    <t>732996249988</t>
  </si>
  <si>
    <t>Charter Club 360 Down Chamber 325-Thread Co White King</t>
  </si>
  <si>
    <t>100069643KG</t>
  </si>
  <si>
    <t>KING</t>
  </si>
  <si>
    <t>CHARTER CLUB-EDI/DOWNLITE INT'L</t>
  </si>
  <si>
    <t>MADE IN USA AND IMPORTED</t>
  </si>
  <si>
    <t>675716957254</t>
  </si>
  <si>
    <t>Madison Park Harper 42 x 216 Solid Crushe Grey 42x216</t>
  </si>
  <si>
    <t>MP40-4505</t>
  </si>
  <si>
    <t>JLA HOME/E &amp; E CO LTD</t>
  </si>
  <si>
    <t>732997260128</t>
  </si>
  <si>
    <t>Hotel Collection Hotel Collection Italian Perca Champagne No Size</t>
  </si>
  <si>
    <t>COTTON</t>
  </si>
  <si>
    <t>96675701144</t>
  </si>
  <si>
    <t>SensorGel Cold Touch Contour Gel Infused White Standard</t>
  </si>
  <si>
    <t>PILLWS&amp;PADS</t>
  </si>
  <si>
    <t>SOFT-TEX MFG CO/SOFT-TEX INT'L INC</t>
  </si>
  <si>
    <t>POLYETHYLENE/POLYESTER</t>
  </si>
  <si>
    <t>96675467439</t>
  </si>
  <si>
    <t>SensorPEDIC 2 Pack SofLOFT Medium Density White King</t>
  </si>
  <si>
    <t>MADE IN USA OF IMPORTED MATERIALS</t>
  </si>
  <si>
    <t>732995797473</t>
  </si>
  <si>
    <t>Martha Stewart Collection Essentials Jersey 4-Pc. Full S Heathered Light Grey Full</t>
  </si>
  <si>
    <t>10015002FL</t>
  </si>
  <si>
    <t>MS COL SHEETS</t>
  </si>
  <si>
    <t>MS ESSENTIALS-EDI/RWI/YUNU-SHEETS</t>
  </si>
  <si>
    <t>732998867906</t>
  </si>
  <si>
    <t>Charter Club Damask Designs Jacobean Embroi White 18x18</t>
  </si>
  <si>
    <t>CHRT CLB DSGN</t>
  </si>
  <si>
    <t>SARITA/CHARTER CLUB-MMG-EDI</t>
  </si>
  <si>
    <t>10482920178</t>
  </si>
  <si>
    <t>Fresh Ideas Poplin Tailored King Bed Skirt Navy King</t>
  </si>
  <si>
    <t>FRE20114NAVY04</t>
  </si>
  <si>
    <t>LEVINSOHN TEXTILE CO INC</t>
  </si>
  <si>
    <t>DROP: POLYESTER/COTTON; PLATFORM: POLYESTER</t>
  </si>
  <si>
    <t>86569947611</t>
  </si>
  <si>
    <t>Madison Park Madison Park Solandis 21 x 24 Blue 21 x 24</t>
  </si>
  <si>
    <t>MP72-5192</t>
  </si>
  <si>
    <t>24"X21"</t>
  </si>
  <si>
    <t>BATH RUGS/ACC</t>
  </si>
  <si>
    <t>170GSM COTTON, TUFTED</t>
  </si>
  <si>
    <t>732998868811</t>
  </si>
  <si>
    <t>Martha Stewart Collection Artisan Sunburst Patchwork Sta Orange Standard Sham</t>
  </si>
  <si>
    <t>100084992ST</t>
  </si>
  <si>
    <t>ORANGE</t>
  </si>
  <si>
    <t>734737552371</t>
  </si>
  <si>
    <t>Sunham Colesville 3-Pc. Comforter Set Blush Twin</t>
  </si>
  <si>
    <t>18953022V</t>
  </si>
  <si>
    <t>FABRIC: POLYESTER; POLYESTER FILL</t>
  </si>
  <si>
    <t>732996618715</t>
  </si>
  <si>
    <t>Martha Stewart Collection Wedding Rings Blue Standard Sh Medium Blue Standard Sham</t>
  </si>
  <si>
    <t>100070851ST</t>
  </si>
  <si>
    <t>42694385223</t>
  </si>
  <si>
    <t>Mohawk Cherish 20 x 34 Bath Rug Navy 20x34</t>
  </si>
  <si>
    <t>Y3260-595-020034</t>
  </si>
  <si>
    <t>34X20</t>
  </si>
  <si>
    <t>AMERICAN RUG-MOHAWK INDUSTRIES</t>
  </si>
  <si>
    <t>MADE IN USA</t>
  </si>
  <si>
    <t>FABRIC: POLYESTER; LATEX BACK</t>
  </si>
  <si>
    <t>732997452356</t>
  </si>
  <si>
    <t>Martha Stewart Collection Martha Stewart Collection Tuft Gold Standard Sham</t>
  </si>
  <si>
    <t>100064584ST</t>
  </si>
  <si>
    <t>BCP INC/MARTHA STEWART-MMG</t>
  </si>
  <si>
    <t>706258615347</t>
  </si>
  <si>
    <t>Martha Stewart Collection Essentials Classic Quilted Ful White Full</t>
  </si>
  <si>
    <t>100058088FU</t>
  </si>
  <si>
    <t>NO COLOR</t>
  </si>
  <si>
    <t>RFMATTRESS</t>
  </si>
  <si>
    <t>ESSENTIALS BY MARTHA/JLA HOME</t>
  </si>
  <si>
    <t>MADE IN CHINA</t>
  </si>
  <si>
    <t>706258616399</t>
  </si>
  <si>
    <t>Martha Stewart Collection Essentials Twin Waterproof Mat White Twin</t>
  </si>
  <si>
    <t>100058084TW</t>
  </si>
  <si>
    <t>RTMATTRESS</t>
  </si>
  <si>
    <t>TOP: 300TC 100% COTTON; BACK: POLYURETHANE; SKIRT: POLYESTER</t>
  </si>
  <si>
    <t>675716585990</t>
  </si>
  <si>
    <t>Martha Stewart Collection Martha Stewart Soft Fleece Twi Natural Ivory Twin</t>
  </si>
  <si>
    <t>MSFLEECETIV</t>
  </si>
  <si>
    <t>MARTHA STEWART-EDI/E &amp; E CO LTD</t>
  </si>
  <si>
    <t>732999834051</t>
  </si>
  <si>
    <t>Martha Stewart Collection Mind Your Manor Floral Patchwo Blue Standard Sham</t>
  </si>
  <si>
    <t>100100815ST</t>
  </si>
  <si>
    <t>732999832965</t>
  </si>
  <si>
    <t>Martha Stewart Collection Farmstead Floral Patchwork Qui Red Standard Sham</t>
  </si>
  <si>
    <t>100103967ST</t>
  </si>
  <si>
    <t>732999832903</t>
  </si>
  <si>
    <t>Martha Stewart Collection Martha Stewart Collection Hill Multi Standard Sham</t>
  </si>
  <si>
    <t>100102819ST</t>
  </si>
  <si>
    <t>9339296034149</t>
  </si>
  <si>
    <t>TUMBLER NINTENDO</t>
  </si>
  <si>
    <t>S8ETUMNT</t>
  </si>
  <si>
    <t>TOWELS</t>
  </si>
  <si>
    <t>SUNNYLIFE LLC</t>
  </si>
  <si>
    <t>POLYSTYRENE/ACRYLONITRILE STYRENE RESIN</t>
  </si>
  <si>
    <t>842873129767</t>
  </si>
  <si>
    <t>Style Basics Silky Soft Thick Plush Sofa Th Navy 50x70</t>
  </si>
  <si>
    <t>THROW1</t>
  </si>
  <si>
    <t>70X52</t>
  </si>
  <si>
    <t>NAUTICA/JBL TRADING LLC</t>
  </si>
  <si>
    <t>FLANNEL</t>
  </si>
  <si>
    <t>706258615897</t>
  </si>
  <si>
    <t>Martha Stewart Collection Essentials Quilted Waterproof White Twin</t>
  </si>
  <si>
    <t>100058089TW</t>
  </si>
  <si>
    <t>29927287462</t>
  </si>
  <si>
    <t>No. 918 CLOSEOUT Joy Lace 60 x 36 P Ivory 60x36</t>
  </si>
  <si>
    <t>S LICHTENBERG &amp; CO.</t>
  </si>
  <si>
    <t>706254462945</t>
  </si>
  <si>
    <t>Hotel Collection Ultimate MicroCotton 30 x 5 White Bath Towels</t>
  </si>
  <si>
    <t>HTLMCBWHT</t>
  </si>
  <si>
    <t>BATH TOWEL</t>
  </si>
  <si>
    <t>PB TOWELS</t>
  </si>
  <si>
    <t>MMG-HOTEL BY CC</t>
  </si>
  <si>
    <t>706258050070</t>
  </si>
  <si>
    <t>Charter Club Damask Supima Cotton 550-Threa Horizon Sky Blue Standard Pillowcases</t>
  </si>
  <si>
    <t>DLLSLSPCHZN</t>
  </si>
  <si>
    <t>34299127957</t>
  </si>
  <si>
    <t>Excell Weighted 70 x 72 Shower Curt Grey</t>
  </si>
  <si>
    <t>1C0-040C0-0921</t>
  </si>
  <si>
    <t>BY APPOINTMENT-EXCELL HOME FASHIONS</t>
  </si>
  <si>
    <t>706258616344</t>
  </si>
  <si>
    <t>Martha Stewart Collection Essentials 2-Pack StandardQue White StandardQueen</t>
  </si>
  <si>
    <t>100058083QN</t>
  </si>
  <si>
    <t>250 THREAD COUNT 100% COTTON, KNIFE EDGE, EXCLUSIVE OF DECORATION</t>
  </si>
  <si>
    <t>400013532725</t>
  </si>
  <si>
    <t>CRC GENERIC</t>
  </si>
  <si>
    <t>UPC DEFAULT</t>
  </si>
  <si>
    <t>NON-MRCHNDSE USE ONLY</t>
  </si>
  <si>
    <t>732999603619</t>
  </si>
  <si>
    <t>Martha Stewart Collection Reversible Plaid Twin Comforte Blue Plaid TwinTwin XL</t>
  </si>
  <si>
    <t>100109403TW</t>
  </si>
  <si>
    <t>BLUE</t>
  </si>
  <si>
    <t>RTCOMFORTE</t>
  </si>
  <si>
    <t>PB COMFORTERS</t>
  </si>
  <si>
    <t>MMG-ESSENTIALS BY MARTHA/JLA HOME</t>
  </si>
  <si>
    <t>733001348801</t>
  </si>
  <si>
    <t>Martha Stewart Collection Furry Dog Decorative Pillow White 14x25</t>
  </si>
  <si>
    <t>636206071829</t>
  </si>
  <si>
    <t>Hotel Collection Dimensional King Comforter Blue King</t>
  </si>
  <si>
    <t>100044714KG</t>
  </si>
  <si>
    <t>HOTEL BY CC-EDI/RWI/SARITA HANDA</t>
  </si>
  <si>
    <t>883893662568</t>
  </si>
  <si>
    <t>Laura Ashley Maybelle King Comforter Set Sunflower Blue King</t>
  </si>
  <si>
    <t>USHSA31149131</t>
  </si>
  <si>
    <t>YELLOW</t>
  </si>
  <si>
    <t>TRAD TXTL COL</t>
  </si>
  <si>
    <t>LAURA ASHLEY/REVMAN INTERNATIONAL</t>
  </si>
  <si>
    <t>COTTON, POLYESTER FILL</t>
  </si>
  <si>
    <t>42075586317</t>
  </si>
  <si>
    <t>Michael Aram Texture King Duvet Set Silver King</t>
  </si>
  <si>
    <t>2-0140D4SV</t>
  </si>
  <si>
    <t>81 SGL</t>
  </si>
  <si>
    <t>NEO COLLECTNS</t>
  </si>
  <si>
    <t>MICHAEL ARAM/CHF INDUSTRIES INC</t>
  </si>
  <si>
    <t>100PERCENT POLYESTER</t>
  </si>
  <si>
    <t>734737587342</t>
  </si>
  <si>
    <t>Lacoste Home Lacoste Milady King Duvet Set Red King</t>
  </si>
  <si>
    <t>LACOSTE/SUNHAM HOME FASHIONS</t>
  </si>
  <si>
    <t>735837574263</t>
  </si>
  <si>
    <t>Hotel Collection European White Goose Down Firm White Standard</t>
  </si>
  <si>
    <t>HWGDJF14</t>
  </si>
  <si>
    <t>HOTEL BY C CLUB-EDI/PHOENIX DOWN</t>
  </si>
  <si>
    <t>REMOVABLE OUTER COVER: 100% COTTON; FILL: GOOSE DOWN; FILL POWER: 700</t>
  </si>
  <si>
    <t>806222663036</t>
  </si>
  <si>
    <t>Tommy Hilfiger Tommy Hilfiger Leilani FullQu White FullQueen</t>
  </si>
  <si>
    <t>17T9936-FQ-W1-O1</t>
  </si>
  <si>
    <t>SHELL: COTTON; FILL: POLYESTER</t>
  </si>
  <si>
    <t>86569351029</t>
  </si>
  <si>
    <t>Addison Park Sahara King 14pc Comforter se Black King</t>
  </si>
  <si>
    <t>MCH10-1721</t>
  </si>
  <si>
    <t>86569272713</t>
  </si>
  <si>
    <t>Urban Habitat Urban Habitat Calum 5-Piece Fu Blush FullQueen</t>
  </si>
  <si>
    <t>UH12-2294</t>
  </si>
  <si>
    <t>MED PINK</t>
  </si>
  <si>
    <t>675716455316</t>
  </si>
  <si>
    <t>Madison Park Laurel 7-Pc. King Comforter Se Ivory King</t>
  </si>
  <si>
    <t>MP10-433</t>
  </si>
  <si>
    <t>LT BEIGE</t>
  </si>
  <si>
    <t>732995473667</t>
  </si>
  <si>
    <t>Charter Club Damask Designs Watercolor Leaf Yellow FullQueen</t>
  </si>
  <si>
    <t>100037348FQ</t>
  </si>
  <si>
    <t>MMG-CHARTER CLUB</t>
  </si>
  <si>
    <t>COTTON / POLYESTER</t>
  </si>
  <si>
    <t>675716642785</t>
  </si>
  <si>
    <t>Intelligent Design Isabella 4-Pc. TwinTwin XL Co Grey TwinTwin XL</t>
  </si>
  <si>
    <t>ID10-368</t>
  </si>
  <si>
    <t>COMFORTER SET: POLYESTER; COMFORTER/SHAM FILL: POLYESTER 200 GRAMS PER SQUARE METER; PILLOW FILL: POLYESTER</t>
  </si>
  <si>
    <t>646998628927</t>
  </si>
  <si>
    <t>CHF Mercury Glass 66-120 Rod Bronze 66-120in</t>
  </si>
  <si>
    <t>6H592202BZ</t>
  </si>
  <si>
    <t>RUSTCOPPER</t>
  </si>
  <si>
    <t>CHF INDUSTRIES INC</t>
  </si>
  <si>
    <t>STEEL; GLASS FINIALS</t>
  </si>
  <si>
    <t>734737620315</t>
  </si>
  <si>
    <t>Sunham Safari Reversible 12-Pc. Comfo Multi Queen</t>
  </si>
  <si>
    <t>628961002347</t>
  </si>
  <si>
    <t>Small World Home Dover Queen Cotton Rich Cool C Blue Queen</t>
  </si>
  <si>
    <t>JET9817</t>
  </si>
  <si>
    <t>JETRICH CANADA LIMITED</t>
  </si>
  <si>
    <t>6952658873991</t>
  </si>
  <si>
    <t>Glitzhome Glitzhome Knitted Throw Blanke Red No Size</t>
  </si>
  <si>
    <t>GLITZHOME LLC</t>
  </si>
  <si>
    <t>ACRYLIC</t>
  </si>
  <si>
    <t>679610822687</t>
  </si>
  <si>
    <t>Hallmart Collectibles Berrian 12-Pc. Reversible Full Red Full</t>
  </si>
  <si>
    <t>MEDIUM RED</t>
  </si>
  <si>
    <t>766195441973</t>
  </si>
  <si>
    <t>Tommy Hilfiger Tommy Hilfiger Solid Core Full Folkstone Full</t>
  </si>
  <si>
    <t>054692TH003</t>
  </si>
  <si>
    <t>689192610015</t>
  </si>
  <si>
    <t>Ella Jayne Super Soft Triple Brushed Micr Rose Queen</t>
  </si>
  <si>
    <t>IYSMICRO90RO3</t>
  </si>
  <si>
    <t>LT/PASPINK</t>
  </si>
  <si>
    <t>ELLA JAYNE/PILLOW GUY INC</t>
  </si>
  <si>
    <t>SUPER SOFT TRIPLE BRUSHED MICROFIBER</t>
  </si>
  <si>
    <t>734737532717</t>
  </si>
  <si>
    <t>Fairfield Square Collection Paris Gold 8-Pc. Reversible Qu White Full</t>
  </si>
  <si>
    <t>18393124NCPV</t>
  </si>
  <si>
    <t>784851504497</t>
  </si>
  <si>
    <t>Elegant Comfort Elegant Comfort Luxurious Silk Brown KingCalifornia King</t>
  </si>
  <si>
    <t>STRIPE DUVET KING CH</t>
  </si>
  <si>
    <t>ELEGANT COMFORT/BESPOLITAN INC</t>
  </si>
  <si>
    <t>POLYESTER MICROFIBER</t>
  </si>
  <si>
    <t>675716454692</t>
  </si>
  <si>
    <t>Madison Park Essentials Premier Comfort Satin 6-Pc. Ca Chocolate California King</t>
  </si>
  <si>
    <t>SHET20-508</t>
  </si>
  <si>
    <t>DARK BROWN</t>
  </si>
  <si>
    <t>693614011526</t>
  </si>
  <si>
    <t>Ella Jayne Big and Soft Fiber Bed Mattres White Queen</t>
  </si>
  <si>
    <t>EJHFBBS3</t>
  </si>
  <si>
    <t>QNMATTRESS</t>
  </si>
  <si>
    <t>840008370480</t>
  </si>
  <si>
    <t>Dr. Oz Good Life Dr. Oz Good Life Stay the Nigh White King</t>
  </si>
  <si>
    <t>OZGLKKHFSD</t>
  </si>
  <si>
    <t>MALOUF/CVB INC</t>
  </si>
  <si>
    <t>29927577617</t>
  </si>
  <si>
    <t>Sun Zero Sun Zero Beck Blackout Grommet Coal 52x96</t>
  </si>
  <si>
    <t>734737615137</t>
  </si>
  <si>
    <t>Sunham Haven Solid 350-Thread Count 4 White California King</t>
  </si>
  <si>
    <t>810026171352</t>
  </si>
  <si>
    <t>Cheer Collection Gray Ombre Acrylic Throw Blank Grey ONE SIZE</t>
  </si>
  <si>
    <t>CC-ACBL008-50X60</t>
  </si>
  <si>
    <t>DIGITALPRINTS USA CORP</t>
  </si>
  <si>
    <t>883893509276</t>
  </si>
  <si>
    <t>Nautica 50 x 60 Large Plaid Faux-Moh Navy Throw</t>
  </si>
  <si>
    <t>675716611316</t>
  </si>
  <si>
    <t>INKIVY Stockholm Color Block Throw Aqua Throw</t>
  </si>
  <si>
    <t>II50-239</t>
  </si>
  <si>
    <t>636202045381</t>
  </si>
  <si>
    <t>Hotel Collection Hotel Collection Finest Elegan Ivory Bath Towels</t>
  </si>
  <si>
    <t>HTLELITEBI</t>
  </si>
  <si>
    <t>COTTON/MODAL</t>
  </si>
  <si>
    <t>86569363435</t>
  </si>
  <si>
    <t>Martha Stewart Collection Essentials Solid Comforter Ful White FullQueen</t>
  </si>
  <si>
    <t>10012459FL</t>
  </si>
  <si>
    <t>734737552395</t>
  </si>
  <si>
    <t>Sunham Colesville 3-Pc. Comforter Set Blush King</t>
  </si>
  <si>
    <t>18953322V</t>
  </si>
  <si>
    <t>190714377496</t>
  </si>
  <si>
    <t>Lacourte Aletta 50 x 60 Decorative Th Yellow 50x60</t>
  </si>
  <si>
    <t>1121923OCHYE50X60</t>
  </si>
  <si>
    <t>MED BEIGE</t>
  </si>
  <si>
    <t>ENVOGUE INTERNATIONAL LLC</t>
  </si>
  <si>
    <t>671826953001</t>
  </si>
  <si>
    <t>Crayola Crayola Be Jeweled 16 Designe White</t>
  </si>
  <si>
    <t>BEJE-P17</t>
  </si>
  <si>
    <t>16X16</t>
  </si>
  <si>
    <t>SISCOVERS/SIS ENTERPRISES INC</t>
  </si>
  <si>
    <t>100% POLYESTER</t>
  </si>
  <si>
    <t>783048113504</t>
  </si>
  <si>
    <t>Pem America Sandrine 3-Pc. FullQueen Comf Yellow FullQueen</t>
  </si>
  <si>
    <t>CS3317FQ-1540</t>
  </si>
  <si>
    <t>PEM AMERICA INC</t>
  </si>
  <si>
    <t>FABRIC: POLYESTER</t>
  </si>
  <si>
    <t>848342042575</t>
  </si>
  <si>
    <t>Epoch Hometex inc Permafresh Antibacterial and W White California King</t>
  </si>
  <si>
    <t>COTTONLOFT/EPOCH HOMETEX INC</t>
  </si>
  <si>
    <t>100% POLYPROPYLENE</t>
  </si>
  <si>
    <t>838810015842</t>
  </si>
  <si>
    <t>simplehuman Bath Accessories, BT1086 Toile White</t>
  </si>
  <si>
    <t>BT1085</t>
  </si>
  <si>
    <t>SIMPLEHUMAN</t>
  </si>
  <si>
    <t>PLASTIC/STAINLESS STEEL</t>
  </si>
  <si>
    <t>91116707327</t>
  </si>
  <si>
    <t>Sanders Printed Microfiber Queen Sheet Edgewood Blue Queen</t>
  </si>
  <si>
    <t>PM3SSQ</t>
  </si>
  <si>
    <t>COZY HOME FASHION/SANDER SALES ENT</t>
  </si>
  <si>
    <t>732998350880</t>
  </si>
  <si>
    <t>Martha Stewart Collection Tie Die Beach Towel Pink Combo No Size</t>
  </si>
  <si>
    <t>PINK</t>
  </si>
  <si>
    <t>BEACHTOWEL</t>
  </si>
  <si>
    <t>MARTHA STEWART-MMG</t>
  </si>
  <si>
    <t>FABRIC: 100% COTTON</t>
  </si>
  <si>
    <t>636193690089</t>
  </si>
  <si>
    <t>Martha Stewart Collection Spa Bath Sheet Melon Bath Sheets</t>
  </si>
  <si>
    <t>MSPLSHSHMEL</t>
  </si>
  <si>
    <t>KG/BATHSHT</t>
  </si>
  <si>
    <t>MARTHA STEWART-EDI/RWI/WELSPUN</t>
  </si>
  <si>
    <t>29927509441</t>
  </si>
  <si>
    <t>Sun Zero Sun Zero Preston 40 x 63 Gro Pearl 40x63</t>
  </si>
  <si>
    <t>36326574697</t>
  </si>
  <si>
    <t>Saturday Knight Valance Multi ONE SIZE</t>
  </si>
  <si>
    <t>VALA15X52</t>
  </si>
  <si>
    <t>SATURDAY KNIGHT LTD</t>
  </si>
  <si>
    <t>MADE OF 100% POLYESTER</t>
  </si>
  <si>
    <t>760028583434</t>
  </si>
  <si>
    <t>DreamEase Sherpa Comfort Pillow, Standar Natural</t>
  </si>
  <si>
    <t>10DREAMNAT-10J</t>
  </si>
  <si>
    <t>VALA20X146</t>
  </si>
  <si>
    <t>PEGASUS HOME FASHIONS</t>
  </si>
  <si>
    <t>760028583441</t>
  </si>
  <si>
    <t>Iso-Pedic Luxury Knit Copper Infused Pil Whitecopper</t>
  </si>
  <si>
    <t>10ISOCOPK-10J</t>
  </si>
  <si>
    <t>735732247361</t>
  </si>
  <si>
    <t>Victoria Classics Fireside Sherpa Throw Navy 50x60</t>
  </si>
  <si>
    <t>SP4-THR-5060-MC-NAVY</t>
  </si>
  <si>
    <t>VICTORIA/TEXTILES FROM EUROPE</t>
  </si>
  <si>
    <t>679610822786</t>
  </si>
  <si>
    <t>Hallmart Collectibles Amnon 14-Pc. Queen Comforter S Gray Queen</t>
  </si>
  <si>
    <t>783048121219</t>
  </si>
  <si>
    <t>Sean John Sean John Tufted Stonewash Ful Blue FullQueen</t>
  </si>
  <si>
    <t>CS3491FQ-1500</t>
  </si>
  <si>
    <t>SEAN JOHN/PEM AMERICA INC</t>
  </si>
  <si>
    <t>734737581937</t>
  </si>
  <si>
    <t>Sunham Bella Blue 12-Pc. Reversible F Blue Full</t>
  </si>
  <si>
    <t>193842104811</t>
  </si>
  <si>
    <t>J Queen New York Jqueen Cracked Ice Queen 4 Pi Taupe Queen</t>
  </si>
  <si>
    <t>2494066QCS</t>
  </si>
  <si>
    <t>J QUEEN NEW YORK INC</t>
  </si>
  <si>
    <t>732995182682</t>
  </si>
  <si>
    <t>Hotel Collection Silverwood King Coverlet Gray King</t>
  </si>
  <si>
    <t>100038953KG</t>
  </si>
  <si>
    <t>FABRIC: COTTON/POLYESTER, REVERSES TO COTTON; EMBROIDERY/FILL: POLYESTER</t>
  </si>
  <si>
    <t>750105134420</t>
  </si>
  <si>
    <t>Charter Club European White Down Heavyweigh White FullQueen</t>
  </si>
  <si>
    <t>FEDC0830WQ</t>
  </si>
  <si>
    <t>SHELL: 100% COTTON; FILL: DOWN; 600 FILL POWER</t>
  </si>
  <si>
    <t>679610813937</t>
  </si>
  <si>
    <t>Hallmart Collectibles Sadie 14-Pc. King Comforter Se Blush King</t>
  </si>
  <si>
    <t>COMFORTER/SHAMS/BEDSKIRT/PILLOWS: POLYESTER (EXCLUSIVE OF DECORATION); SHEETS: COTTON; THROW: ACRYLIC/POLYESTER; POLYESTER FILL</t>
  </si>
  <si>
    <t>732996618692</t>
  </si>
  <si>
    <t>Martha Stewart Collection Wedding Rings Blue King Quilt Medium Blue King</t>
  </si>
  <si>
    <t>100070851KG</t>
  </si>
  <si>
    <t>679610822052</t>
  </si>
  <si>
    <t>Hallmart Collectibles Jagger 14 PC Queen Comforter S Goldivory Queen</t>
  </si>
  <si>
    <t>FIBER: 100% POLYESTER EXCLUSIVE OF DECORATION; FILLING: 100% POLYESTER; SHEETS: 100% COTTON</t>
  </si>
  <si>
    <t>846339092374</t>
  </si>
  <si>
    <t>J Queen New York Maribella Crimson Drapery Crimson 84 inches</t>
  </si>
  <si>
    <t>236802384PR</t>
  </si>
  <si>
    <t>WINE</t>
  </si>
  <si>
    <t>83/84 DBL</t>
  </si>
  <si>
    <t>732999186310</t>
  </si>
  <si>
    <t>Charter Club Damask Designs Woven Tile 3-Pc Grey FullQueen</t>
  </si>
  <si>
    <t>100082939FQ</t>
  </si>
  <si>
    <t>CHARTER CLUB/SHANGHAI SUNWIN IN</t>
  </si>
  <si>
    <t>86569209122</t>
  </si>
  <si>
    <t>Madison Park Walter Queen 7 Piece Printed S Grey Queen</t>
  </si>
  <si>
    <t>MP10-6290</t>
  </si>
  <si>
    <t>COMFORTER/SHAM: POLYESTER SEERSUCKER FACE, POLYESTER MICROFIBER BACK; COMFORTER WITH POLYESTER FILLING; BEDSKIRT: POLYESTER MICROFIBER; DECORATIVE PILLOW: POLYESTER MICROFIBER COVER WITH POLYESTER FILLING</t>
  </si>
  <si>
    <t>847636038829</t>
  </si>
  <si>
    <t>Mytex Alexandra Floral 10-PieceReve Brown FullQueen</t>
  </si>
  <si>
    <t>ALEXANDRA10PC-FQ</t>
  </si>
  <si>
    <t>MYTEX LLC</t>
  </si>
  <si>
    <t>733001712947</t>
  </si>
  <si>
    <t>Martha Stewart Collection Holiday Yarn-Dye FullQueen Qu Red FullQueen</t>
  </si>
  <si>
    <t>100104003FQ</t>
  </si>
  <si>
    <t>732999186341</t>
  </si>
  <si>
    <t>Charter Club Damask Designs Woven Tile Cott Grey FullQueen</t>
  </si>
  <si>
    <t>100082940FQ</t>
  </si>
  <si>
    <t>732996149059</t>
  </si>
  <si>
    <t>Martha Stewart Collection Chenille Dot 2-Pc. Twin Comfor White TwinTwin XL</t>
  </si>
  <si>
    <t>100039057TW</t>
  </si>
  <si>
    <t>842491158194</t>
  </si>
  <si>
    <t>Sweet Home Collection 48 x 72 12lb Weighted Blanke Dark Gray 48X72</t>
  </si>
  <si>
    <t>WGHT-BLNKT-48X72-12</t>
  </si>
  <si>
    <t>SWEET HOME COLLECTION/BED BATH N MO</t>
  </si>
  <si>
    <t>FACE FABRIC: 100% COTTON; BACK FABRIC: 100% COTTON; FILL: POLYESTER AND LEAD-FREE NON-TOXIC GLASS BEADS</t>
  </si>
  <si>
    <t>675716628888</t>
  </si>
  <si>
    <t>JLA Home Peak Performance 3M Scotchgard Mink Queen</t>
  </si>
  <si>
    <t>SHET20-729</t>
  </si>
  <si>
    <t>MICRO FLEECE, 75D/144F</t>
  </si>
  <si>
    <t>750105138640</t>
  </si>
  <si>
    <t>Charter Club Soft StandardQueen Down Pillo White StandardQueen</t>
  </si>
  <si>
    <t>FEDP0840WQ</t>
  </si>
  <si>
    <t>REMOVABLE COVER: 100% COTTON</t>
  </si>
  <si>
    <t>732995473650</t>
  </si>
  <si>
    <t>Charter Club Damask Designs Engraved Flower Grey Twin</t>
  </si>
  <si>
    <t>100037338TW</t>
  </si>
  <si>
    <t>FABRIC: COTTON; THREAD COUNT: 300; POLYESTER FILL</t>
  </si>
  <si>
    <t>733001039488</t>
  </si>
  <si>
    <t>Martha Stewart Collection Buffalo Plaid Flannel FullQue Buffalo Plaid FullQueen</t>
  </si>
  <si>
    <t>100069787FQ</t>
  </si>
  <si>
    <t>732997147160</t>
  </si>
  <si>
    <t>Charter Club Oak Leaf 3-Pc. King Duvet Set Green FullQueen</t>
  </si>
  <si>
    <t>100058466FQ</t>
  </si>
  <si>
    <t>GREEN</t>
  </si>
  <si>
    <t>26865957198</t>
  </si>
  <si>
    <t>Elrene Elrene Athena Rod Pocket 52 x White 52x95</t>
  </si>
  <si>
    <t>17797WHT</t>
  </si>
  <si>
    <t>OSFA REG</t>
  </si>
  <si>
    <t>ELRENE HOME FASHIONS</t>
  </si>
  <si>
    <t>706257404898</t>
  </si>
  <si>
    <t>Hotel Collection Cotton 680 Thread Count Queen Sky Queen</t>
  </si>
  <si>
    <t>68S20QNFT</t>
  </si>
  <si>
    <t>QNBOTTOMFT</t>
  </si>
  <si>
    <t>HOTEL COLLECTION-MMG/HIMATSINGKA</t>
  </si>
  <si>
    <t>100% SUPIMA COTTON</t>
  </si>
  <si>
    <t>734737581487</t>
  </si>
  <si>
    <t>Sunham Irene 8-Pc. Reversible Full Co Blush Full</t>
  </si>
  <si>
    <t>675716748326</t>
  </si>
  <si>
    <t>Intelligent Design Avery Reversible 3-Pc. FullQu Grey FullQueen</t>
  </si>
  <si>
    <t>ID10-869</t>
  </si>
  <si>
    <t>SHELL: POLYESTER 85 GSM; FILL: POLYESTER 250 GSM</t>
  </si>
  <si>
    <t>735837086315</t>
  </si>
  <si>
    <t>Hotel Collection Step Up Down-Alternative Mediu White Standard</t>
  </si>
  <si>
    <t>HDAMJ904</t>
  </si>
  <si>
    <t>SHELL: 100% COTTON WOVEN JACQUARD; FILL: DOWN-ALTERNATIVE FIBER</t>
  </si>
  <si>
    <t>732999742196</t>
  </si>
  <si>
    <t>Martha Stewart Collection Crushed Velvet 54 x 20 Body Pink</t>
  </si>
  <si>
    <t>54X20</t>
  </si>
  <si>
    <t>MMG-MARTHA STEWART-EDI/SAMANTHA</t>
  </si>
  <si>
    <t>31374564126</t>
  </si>
  <si>
    <t>Martha Stewart Collection Essentials 7-Zone Full Memory White Full</t>
  </si>
  <si>
    <t>10012212FL</t>
  </si>
  <si>
    <t>ESSENTIALS BY MARTHA-EDI/CARPENTER</t>
  </si>
  <si>
    <t>POLYURETHANE</t>
  </si>
  <si>
    <t>655385026215</t>
  </si>
  <si>
    <t>Elite Home Revina 6-Pc. King Sheet Set Apricot King</t>
  </si>
  <si>
    <t>MICSSKG263RPEBS</t>
  </si>
  <si>
    <t>ELITE HOME PRODUCTS INC</t>
  </si>
  <si>
    <t>675716802233</t>
  </si>
  <si>
    <t>Madison Park Elma Oversized Reversible 60 Tan 60x70</t>
  </si>
  <si>
    <t>MP50-3252</t>
  </si>
  <si>
    <t>FACE: POLYESTER</t>
  </si>
  <si>
    <t>706257253717</t>
  </si>
  <si>
    <t>Hotel Collection 680 Thread-Count Standard Sham White Standard Sham</t>
  </si>
  <si>
    <t>68W13SS790</t>
  </si>
  <si>
    <t>SUPIMA® COTTON</t>
  </si>
  <si>
    <t>29927509526</t>
  </si>
  <si>
    <t>Sun Zero Sun Zero Preston 40 x 108 Gr Red 40x108</t>
  </si>
  <si>
    <t>40X108/9</t>
  </si>
  <si>
    <t>29927562798</t>
  </si>
  <si>
    <t>No. 918 No. 918 Alison Floral Lace Rod White 58x36</t>
  </si>
  <si>
    <t>29927507287</t>
  </si>
  <si>
    <t>Sun Zero Cooper 40 x 95 Thermal Insul Linen 40x95</t>
  </si>
  <si>
    <t>25521181946</t>
  </si>
  <si>
    <t>Charter Club Wont Go Flat Extra Firm Stand White Standard</t>
  </si>
  <si>
    <t>18194FN</t>
  </si>
  <si>
    <t>CHARTER CLUB-EDI/PACIFIC COAST FTHR</t>
  </si>
  <si>
    <t>COTTON; POLYESTER FILL AND POLYURETHANE FOAM CORE</t>
  </si>
  <si>
    <t>750105158587</t>
  </si>
  <si>
    <t>DOWNLITE comfortWISE REPREVE Blend White</t>
  </si>
  <si>
    <t>DLBPI0310WJ</t>
  </si>
  <si>
    <t>DOWN LITE INTERNATIONAL</t>
  </si>
  <si>
    <t>POLYESTER MICROFIBER WITH FIBER FILL</t>
  </si>
  <si>
    <t>814945024454</t>
  </si>
  <si>
    <t>De Moocci Wrap Around Bed Skirt, Elastic Cream</t>
  </si>
  <si>
    <t>1606BS-CRM-QK</t>
  </si>
  <si>
    <t>DE MOOCCI/ORIENT HOME COLLECTION</t>
  </si>
  <si>
    <t>29927480535</t>
  </si>
  <si>
    <t>Sun Zero Sun Zero Preston 40 x 63 Gro Red 40x63</t>
  </si>
  <si>
    <t>651896642838</t>
  </si>
  <si>
    <t>Morgan Home LAST ACT Holiday Print Plush Deck The Halls No Size</t>
  </si>
  <si>
    <t>M642838</t>
  </si>
  <si>
    <t>12 SGL</t>
  </si>
  <si>
    <t>MORGAN HOME FASHIONS</t>
  </si>
  <si>
    <t>651896642821</t>
  </si>
  <si>
    <t>Morgan Home LAST ACT Holiday Print Plush Holiday Truck No Size</t>
  </si>
  <si>
    <t>M642821</t>
  </si>
  <si>
    <t>651896642814</t>
  </si>
  <si>
    <t>Morgan Home LAST ACT Holiday Print Plush Furry Friends No Size</t>
  </si>
  <si>
    <t>M642814</t>
  </si>
  <si>
    <t>DARK BEIGE</t>
  </si>
  <si>
    <t>760028583199</t>
  </si>
  <si>
    <t>Iso-Pedic Luxury Knit Cooling Pillow Whiteblue</t>
  </si>
  <si>
    <t>10ISOCOOLK-10J</t>
  </si>
  <si>
    <t>636193690096</t>
  </si>
  <si>
    <t>Martha Stewart Collection Spa Tub Mat Aloe</t>
  </si>
  <si>
    <t>MSPLSHTALO</t>
  </si>
  <si>
    <t>LT/PAS GRN</t>
  </si>
  <si>
    <t>TUB MAT</t>
  </si>
  <si>
    <t>46249646791</t>
  </si>
  <si>
    <t>Tommy Hilfiger Modern American 30 x 54 Cott Blue Bath Towels</t>
  </si>
  <si>
    <t>27T0465-BT-S3-D1</t>
  </si>
  <si>
    <t>BRIGHTBLUE</t>
  </si>
  <si>
    <t>734737618374</t>
  </si>
  <si>
    <t>Lacoste Ace Cotton 16 x 30 Hand Towe Oxford Blue Hand Towels</t>
  </si>
  <si>
    <t>T21277B5861630</t>
  </si>
  <si>
    <t>HAND TOWEL</t>
  </si>
  <si>
    <t>732999339211</t>
  </si>
  <si>
    <t>Hotel Collection Impressions King Coverlet, Cre Lightpastel Pu King</t>
  </si>
  <si>
    <t>100083531KG</t>
  </si>
  <si>
    <t>LT/PAS PUR</t>
  </si>
  <si>
    <t>HOTEL BY C CLUB-EDI/RWI/FA</t>
  </si>
  <si>
    <t>841323180310</t>
  </si>
  <si>
    <t>Montage Home Montage Home Davina Enzyme Ruf Ivory King</t>
  </si>
  <si>
    <t>DVA6CSKINGGHIV</t>
  </si>
  <si>
    <t>GENEVA HOME FASHION LLC</t>
  </si>
  <si>
    <t>733001039808</t>
  </si>
  <si>
    <t>Martha Stewart Collection Luxury 100 Cotton Flannel 4-P Pearl California King</t>
  </si>
  <si>
    <t>100020870CK</t>
  </si>
  <si>
    <t>732999971688</t>
  </si>
  <si>
    <t>Hotel Collection Moonstone Queen Bedskirt, Crea Gold Queen</t>
  </si>
  <si>
    <t>100107664QN</t>
  </si>
  <si>
    <t>BEIGEKHAKI</t>
  </si>
  <si>
    <t>732999521623</t>
  </si>
  <si>
    <t>Hotel Collection Hotel Collection Cambria Quilt White</t>
  </si>
  <si>
    <t>100105352SD</t>
  </si>
  <si>
    <t>34086732272</t>
  </si>
  <si>
    <t>SERTA DOWN ALT S/Q P BASIC</t>
  </si>
  <si>
    <t>SRTADWNPILLOW</t>
  </si>
  <si>
    <t>AMERICAN FIBER IND/SPRINGS IND</t>
  </si>
  <si>
    <t>843145101818</t>
  </si>
  <si>
    <t>Chic Home Chic Home Avila 20-Pc. Queen B Beige Queen</t>
  </si>
  <si>
    <t>CS8081-MC</t>
  </si>
  <si>
    <t>BGEOVERFLW</t>
  </si>
  <si>
    <t>QNCOMFORTE</t>
  </si>
  <si>
    <t>CHIC HOME DESIGN LLC</t>
  </si>
  <si>
    <t>FABRIC: 100% POLYESTER MICROFIBERFILL: 100% POLYESTER</t>
  </si>
  <si>
    <t>732998345930</t>
  </si>
  <si>
    <t>Hotel Collection Hotel Collection Primativa Ful Silver FullQueen</t>
  </si>
  <si>
    <t>100089890FQ</t>
  </si>
  <si>
    <t>FRONT: POLYESTER/COTTON BLEND, BACK: 100% COTTON, FILL: 100% POLYESTER</t>
  </si>
  <si>
    <t>732996468211</t>
  </si>
  <si>
    <t>Hotel Collection Classic Jardin FullQueen Cove White Queen</t>
  </si>
  <si>
    <t>100070636FQ</t>
  </si>
  <si>
    <t>COTTON; EMBROIDERY AND FILLING: POLYESTER</t>
  </si>
  <si>
    <t>706257552148</t>
  </si>
  <si>
    <t>Martha Stewart Collection Maui Medallion Cotton FullQue Celadon FullQueen</t>
  </si>
  <si>
    <t>MAUIMEDFQ</t>
  </si>
  <si>
    <t>SHELL, APPLIQUE &amp; FILL: COTTON; EMBROIDERY: POLYESTER</t>
  </si>
  <si>
    <t>766195485618</t>
  </si>
  <si>
    <t>Tommy Hilfiger Laurel Dobby 2-Pc. Twin Comfor Cream Twin</t>
  </si>
  <si>
    <t>110379TH004</t>
  </si>
  <si>
    <t>COTTON; FILL: POLYESTER FIBER</t>
  </si>
  <si>
    <t>86569349156</t>
  </si>
  <si>
    <t>Addison Park Bennett grey Queen 9pc Comfort Grey Queen</t>
  </si>
  <si>
    <t>MCH10-1701</t>
  </si>
  <si>
    <t>636202611739</t>
  </si>
  <si>
    <t>Hotel Collection Hotel Collection 525 Thread Co Smoke Queen</t>
  </si>
  <si>
    <t>5M17QSS790</t>
  </si>
  <si>
    <t>HOTEL BY C CLUB-EDI/RWI/KADRI MILLS</t>
  </si>
  <si>
    <t>732994885072</t>
  </si>
  <si>
    <t>Martha Stewart Collection Exposed Floral 3-Pc. FullQuee Pink FullQueen</t>
  </si>
  <si>
    <t>100039060FQ</t>
  </si>
  <si>
    <t>DARK PINK</t>
  </si>
  <si>
    <t>FABRIC: COTTON; POLYESTER FILL</t>
  </si>
  <si>
    <t>733001495314</t>
  </si>
  <si>
    <t>Martha Stewart Collection Reversible 3-Pc. Cheetah-Print Grey FullQueen</t>
  </si>
  <si>
    <t>100100702FQ</t>
  </si>
  <si>
    <t>706256451541</t>
  </si>
  <si>
    <t>Martha Stewart Collection Prairie House Twin Bedspread Blue Twin</t>
  </si>
  <si>
    <t>PRHSETW</t>
  </si>
  <si>
    <t>TURQ/AQUA</t>
  </si>
  <si>
    <t>COTTON FACE; POLYESTER REVERSE</t>
  </si>
  <si>
    <t>783048109781</t>
  </si>
  <si>
    <t>Cottage Classics Cottage Classics Ridgefield 3- Pink King</t>
  </si>
  <si>
    <t>CS3246KG-1500</t>
  </si>
  <si>
    <t>ASSORTED</t>
  </si>
  <si>
    <t>883893287600</t>
  </si>
  <si>
    <t>City Scene Triple Diamond FullQueen Duve White FullQueen</t>
  </si>
  <si>
    <t>CITY SCENE/REVMAN INTERNATIONAL INC</t>
  </si>
  <si>
    <t>679610813388</t>
  </si>
  <si>
    <t>Hallmart Collectibles Ada 12-Pc. Comforter Sets Fuchsia King</t>
  </si>
  <si>
    <t>733001039570</t>
  </si>
  <si>
    <t>Martha Stewart Collection Midcentury Plaid Full Queen Du Navy Combo FullQueen</t>
  </si>
  <si>
    <t>100094872FQ</t>
  </si>
  <si>
    <t>735732886928</t>
  </si>
  <si>
    <t>VCNY Home Carmen 3-Pc. Ruched King Duvet Taupe King</t>
  </si>
  <si>
    <t>CMN-3DV-KING-OV-TAUP</t>
  </si>
  <si>
    <t>TEXTILES-EUROPE INC</t>
  </si>
  <si>
    <t>26865855197</t>
  </si>
  <si>
    <t>Elrene Elrene Athena Rod Pocket 52 x Gold 52x95</t>
  </si>
  <si>
    <t>791551789697</t>
  </si>
  <si>
    <t>Berkshire Luxe Reversible Plush FullQue Vanilla Cream FullQueen</t>
  </si>
  <si>
    <t>14281-FQ-35T</t>
  </si>
  <si>
    <t>BERKSHIRE BLANKET</t>
  </si>
  <si>
    <t>734737581494</t>
  </si>
  <si>
    <t>Sunham Irene 8-Pc. Reversible Queen C Blush Queen</t>
  </si>
  <si>
    <t>734737485655</t>
  </si>
  <si>
    <t>Fairfield Square Collection Austin 8-Pc. Reversible Comfor Blue Queen</t>
  </si>
  <si>
    <t>1575C229V</t>
  </si>
  <si>
    <t>732995690064</t>
  </si>
  <si>
    <t>Home Design Studio Handstitched Beaded 16 x 16 Gold</t>
  </si>
  <si>
    <t>MMG-HOME DESIGN STUDIO/SARITA HANDA</t>
  </si>
  <si>
    <t>29927528312</t>
  </si>
  <si>
    <t>Sun Zero Shaw Theater Grade 80 x 84 E Coal 40x842</t>
  </si>
  <si>
    <t>732995690057</t>
  </si>
  <si>
    <t>Home Design Studio Deco Leaf Embroidered 14 x 26 Gold</t>
  </si>
  <si>
    <t>706257552704</t>
  </si>
  <si>
    <t>Martha Stewart Collection Eyelash Stripe 12 x 24 Decor Grey NO SIZE</t>
  </si>
  <si>
    <t>EYELASHDEC</t>
  </si>
  <si>
    <t>MARTHA STEWART-EDI/BALTIC LINENS</t>
  </si>
  <si>
    <t>87918540187</t>
  </si>
  <si>
    <t>Warner Brothers Harry Potter Ravenclaw Crest T Multi Throw</t>
  </si>
  <si>
    <t>1HPT051000005RET</t>
  </si>
  <si>
    <t>NORTHWEST WOOLEN MIL</t>
  </si>
  <si>
    <t>842941109271</t>
  </si>
  <si>
    <t>Tribeca Living Valencia Microfiber Oversized Deep Red Queen</t>
  </si>
  <si>
    <t>VALENDUVETQUDR</t>
  </si>
  <si>
    <t>TRIBECA LIVING/MARWAH CORPORATION</t>
  </si>
  <si>
    <t>732996249995</t>
  </si>
  <si>
    <t>Charter Club 360 Down Chamber 325-Thread Co White Standard</t>
  </si>
  <si>
    <t>100069643SQ</t>
  </si>
  <si>
    <t>733001365839</t>
  </si>
  <si>
    <t>Martha Stewart Collection LAST ACT Medallion Tufted Vel Burgundy King Sham</t>
  </si>
  <si>
    <t>100106021KS</t>
  </si>
  <si>
    <t>675716719234</t>
  </si>
  <si>
    <t>Madison Park 3M Microcell Twin XL 3-Pc Shee White Twin XL</t>
  </si>
  <si>
    <t>MP20-2445</t>
  </si>
  <si>
    <t>807882531079</t>
  </si>
  <si>
    <t>THRO Hinley Snowflake 20 x 20 Dec White Silver 18x18</t>
  </si>
  <si>
    <t>TH022419001MDS</t>
  </si>
  <si>
    <t>20X20</t>
  </si>
  <si>
    <t>THRO/JIMCO LAMP &amp; MANUFACTURING CO</t>
  </si>
  <si>
    <t>800298566079</t>
  </si>
  <si>
    <t>DKNY Modern Bloom 50 x 84 Curtain Blue 50x84</t>
  </si>
  <si>
    <t>WZD788343W0G</t>
  </si>
  <si>
    <t>190714256869</t>
  </si>
  <si>
    <t>Lacourte Lulu Cotton 20 x 20 Decorati Multi 20x20</t>
  </si>
  <si>
    <t>1120538MULTI20X20</t>
  </si>
  <si>
    <t>734737573048</t>
  </si>
  <si>
    <t>Silken Slumber Solid Champagne Eyemask Midnight Blue ONE SIZE</t>
  </si>
  <si>
    <t>19675EM</t>
  </si>
  <si>
    <t>PURPLE</t>
  </si>
  <si>
    <t>ALL SILK</t>
  </si>
  <si>
    <t>734737573079</t>
  </si>
  <si>
    <t>Silken Slumber Solid Champagne Eyemask Gold ONE SIZE</t>
  </si>
  <si>
    <t>19676EM</t>
  </si>
  <si>
    <t>883893549760</t>
  </si>
  <si>
    <t>Eddie Bauer Mountain Plaid Chrome Ultra Pl Silver 50x60</t>
  </si>
  <si>
    <t>USHSHF1069875</t>
  </si>
  <si>
    <t>EDDIE BAUER/REVMAN INTERNATIONAL</t>
  </si>
  <si>
    <t>25521184688</t>
  </si>
  <si>
    <t>Martha Stewart Collection Wont Go Flat Core Extra Firm White King</t>
  </si>
  <si>
    <t>18468FN</t>
  </si>
  <si>
    <t>MARTHA STEWART-MMG/HOLLANDER</t>
  </si>
  <si>
    <t>21864386017</t>
  </si>
  <si>
    <t>Avanti Country Friends Bath Rug Multi</t>
  </si>
  <si>
    <t>13388J</t>
  </si>
  <si>
    <t>AVANTI LINENS/AVANTI LINENS INC</t>
  </si>
  <si>
    <t>NYLON</t>
  </si>
  <si>
    <t>733001365846</t>
  </si>
  <si>
    <t>Martha Stewart Collection LAST ACT Medallion Tufted Vel Burgundy Standard Sham</t>
  </si>
  <si>
    <t>100106021ST</t>
  </si>
  <si>
    <t>91116719290</t>
  </si>
  <si>
    <t>Sanders Printed Microfiber Juvie 4-Pc. Arena Full</t>
  </si>
  <si>
    <t>ARNSSF</t>
  </si>
  <si>
    <t>86569041128</t>
  </si>
  <si>
    <t>Sleep Philosophy Flexapedic Standard Knee Pillo White Standard</t>
  </si>
  <si>
    <t>BASI30-0531</t>
  </si>
  <si>
    <t>WONDER WOOL/JLA HOME/E &amp; E CO LTD</t>
  </si>
  <si>
    <t>732997452004</t>
  </si>
  <si>
    <t>Martha Stewart Collection Holiday Patchwork Standard Sha Red Standard Sham</t>
  </si>
  <si>
    <t>100064583ST</t>
  </si>
  <si>
    <t>91116694801</t>
  </si>
  <si>
    <t>Jessica Sanders Solid Microfiber Queen Sheet S White Queen</t>
  </si>
  <si>
    <t>SM3SSQ</t>
  </si>
  <si>
    <t>36326589523</t>
  </si>
  <si>
    <t>Saturday Knight Joyful Snowfriends Window Vala Natural ONE SIZE</t>
  </si>
  <si>
    <t>21864289158</t>
  </si>
  <si>
    <t>Avanti Gilded Birds 11x18 Fingertip Ivory</t>
  </si>
  <si>
    <t>FINGER TIP</t>
  </si>
  <si>
    <t>COTTON; EXCLUSIVE OF EMBELLISHMENT</t>
  </si>
  <si>
    <t>810033092893</t>
  </si>
  <si>
    <t>Caro Home Isadora Cotton 30 x 54 Bath White Bath Towels</t>
  </si>
  <si>
    <t>BT1152T1100</t>
  </si>
  <si>
    <t>CARO HOME LLC</t>
  </si>
  <si>
    <t>22415073288</t>
  </si>
  <si>
    <t>Sealy Sealy Satin with Aloe Pillow P White Standard</t>
  </si>
  <si>
    <t>AMERICAN TEXTILE</t>
  </si>
  <si>
    <t>732996805856</t>
  </si>
  <si>
    <t>Martha Stewart Collection Snow Tree Cotton Hand Towel Red Combo Hand Towels</t>
  </si>
  <si>
    <t>COTTON/VISCOSE</t>
  </si>
  <si>
    <t>840008367268</t>
  </si>
  <si>
    <t>Dr. Oz Good Life Dr. Oz Good Life Sleep All Day White California King</t>
  </si>
  <si>
    <t>OZGL20CK40FRGT</t>
  </si>
  <si>
    <t>814740025137</t>
  </si>
  <si>
    <t>Nanshing Nanshing Suva 7-Piece Queen Co Navy Queen</t>
  </si>
  <si>
    <t>MERLE7-Q</t>
  </si>
  <si>
    <t>NANSHING AMERICA INC</t>
  </si>
  <si>
    <t>86569374844</t>
  </si>
  <si>
    <t>Intelligent Design Intelligent Design Malea 2 Pie Black TwinTwin XL</t>
  </si>
  <si>
    <t>ID10-1920</t>
  </si>
  <si>
    <t>840456055021</t>
  </si>
  <si>
    <t>DRAFT - Etta Euro Sham 26 x 2 Grey-Citrus ONE SIZE</t>
  </si>
  <si>
    <t>ETTA5502</t>
  </si>
  <si>
    <t>DUCK RIVER TEXTILE</t>
  </si>
  <si>
    <t>191790022621</t>
  </si>
  <si>
    <t>AQ Textiles T300 Cotton Blend 6 pc Print K Grey King</t>
  </si>
  <si>
    <t>71022104082AQT</t>
  </si>
  <si>
    <t>AQ TEXTILES</t>
  </si>
  <si>
    <t>735732244360</t>
  </si>
  <si>
    <t>VCNY Home X White</t>
  </si>
  <si>
    <t>CIP-BTH-17PC-MA-WHMU</t>
  </si>
  <si>
    <t>21864376995</t>
  </si>
  <si>
    <t>AVANTI 3PC NOEL</t>
  </si>
  <si>
    <t>02480LPFTNOE</t>
  </si>
  <si>
    <t>96675612235</t>
  </si>
  <si>
    <t>SensorGel Sensor Gel Arctic 3-Inch Memor White Queen</t>
  </si>
  <si>
    <t>NYLON/POLYESTER</t>
  </si>
  <si>
    <t>706257998120</t>
  </si>
  <si>
    <t>Hotel Collection Fresco King Comforter Gold King</t>
  </si>
  <si>
    <t>FO02KC790</t>
  </si>
  <si>
    <t>42075573607</t>
  </si>
  <si>
    <t>Peri Home Peri Home Linear Loop FullQue White FullQueen</t>
  </si>
  <si>
    <t>2-2129C3WT</t>
  </si>
  <si>
    <t>PERI HOME/CHF INDUSTRIES</t>
  </si>
  <si>
    <t>ALL COTTON</t>
  </si>
  <si>
    <t>628961002439</t>
  </si>
  <si>
    <t>Small World Home Cheshire 14-Pc. King Comforter Black King</t>
  </si>
  <si>
    <t>JET9826</t>
  </si>
  <si>
    <t>840444147417</t>
  </si>
  <si>
    <t>Chic Home Chic Home Hannah 10-Pc. Queen Silver Queen</t>
  </si>
  <si>
    <t>CS4741MC</t>
  </si>
  <si>
    <t>733001363095</t>
  </si>
  <si>
    <t>Martha Stewart Collection LAST ACT Medallion Tufted Vel Blush KingCalifornia King</t>
  </si>
  <si>
    <t>100106021KG</t>
  </si>
  <si>
    <t>750105134376</t>
  </si>
  <si>
    <t>Charter Club European White Down Lightweigh White FullQueen</t>
  </si>
  <si>
    <t>FEDC0810WQ</t>
  </si>
  <si>
    <t>706254770040</t>
  </si>
  <si>
    <t>Hotel Collection Embroidered Frame FullQueen D Champagne FullQueen</t>
  </si>
  <si>
    <t>EF10QD790CM</t>
  </si>
  <si>
    <t>732999609758</t>
  </si>
  <si>
    <t>Hotel Collection Hotel Collection Tessellate Fu Lightpastel Gr FullQueen</t>
  </si>
  <si>
    <t>100097063FQ</t>
  </si>
  <si>
    <t>706258481270</t>
  </si>
  <si>
    <t>Martha Stewart Collection Chenille Trellis 3-Pc. King Co Light Blue King</t>
  </si>
  <si>
    <t>100036498KG</t>
  </si>
  <si>
    <t>657812144592</t>
  </si>
  <si>
    <t>Biddeford Biddeford Quilted Sherpa Rever White King</t>
  </si>
  <si>
    <t>5503-5051168-100</t>
  </si>
  <si>
    <t>KGMATTRESS</t>
  </si>
  <si>
    <t>BIDDEFORD BLANKETS LLC</t>
  </si>
  <si>
    <t>811032030121</t>
  </si>
  <si>
    <t>Hawthorne Park Kalindi 5PC Comforter Set - Qu Multi Queen</t>
  </si>
  <si>
    <t>SD17096BQ</t>
  </si>
  <si>
    <t>SHANGHAI SMART DIRECT LLC</t>
  </si>
  <si>
    <t>735732261497</t>
  </si>
  <si>
    <t>VCNY Home Beckham 8-Pc. Damask King Bed- Blue King</t>
  </si>
  <si>
    <t>BHA-BIB-KING-IN-BLUE</t>
  </si>
  <si>
    <t>783048057808</t>
  </si>
  <si>
    <t>Style 212 Style 212 Carlyle 9 Piece Bed Blue Twin</t>
  </si>
  <si>
    <t>BIB2706BLTW-00</t>
  </si>
  <si>
    <t>191790024366</t>
  </si>
  <si>
    <t>Fairfield Square Collection Brookline 1400-Thread Count 6- White California King</t>
  </si>
  <si>
    <t>23302105001AQT</t>
  </si>
  <si>
    <t>96675323117</t>
  </si>
  <si>
    <t>SensorGel Arctic Nights 10x Cooler Suppo White Standard</t>
  </si>
  <si>
    <t>860002618593</t>
  </si>
  <si>
    <t>American Soft Linen American Soft Linen Mens and Teal XLXXL</t>
  </si>
  <si>
    <t>B1-WSB-X-XXL-MAV</t>
  </si>
  <si>
    <t>AMERICAN SOFT LINEN LLC</t>
  </si>
  <si>
    <t>769924454190</t>
  </si>
  <si>
    <t>Home Dynamix Home Dynamix NY Loft 8-Piece K White</t>
  </si>
  <si>
    <t>HOME DYNAMIX LLC</t>
  </si>
  <si>
    <t>MICROFIBER</t>
  </si>
  <si>
    <t>733001040613</t>
  </si>
  <si>
    <t>Martha Stewart Collection 100 Cotton Flannel 4-Pc. Quee Eclipse Queen</t>
  </si>
  <si>
    <t>100020869QN</t>
  </si>
  <si>
    <t>DARK BLUE</t>
  </si>
  <si>
    <t>858352005538</t>
  </si>
  <si>
    <t>PharMeDoc Pharmedoc Pregnancy Pillow wit Grey</t>
  </si>
  <si>
    <t>PMD-C-BP-JC</t>
  </si>
  <si>
    <t>PHARMEDOC INC</t>
  </si>
  <si>
    <t>PILLOW FILLING - POLYFIL, COVER - JERSEY</t>
  </si>
  <si>
    <t>732997288399</t>
  </si>
  <si>
    <t>HP 500TC QN FT CC</t>
  </si>
  <si>
    <t>5CC66QFT79</t>
  </si>
  <si>
    <t>CHARCOAL</t>
  </si>
  <si>
    <t>HUDSON PARK-EDI/RWI/PACFNG</t>
  </si>
  <si>
    <t>100% PIMA COTTON</t>
  </si>
  <si>
    <t>732999837595</t>
  </si>
  <si>
    <t>Martha Stewart Collection Solid Faux Fur Throw Ivory 50x60</t>
  </si>
  <si>
    <t>MARTHA STEWART-EDI/JLA HOME</t>
  </si>
  <si>
    <t>FAUX FUR: POLYESTER</t>
  </si>
  <si>
    <t>26865856033</t>
  </si>
  <si>
    <t>Elrene Elrene Athena Rod Pocket 52 x Red 52x95</t>
  </si>
  <si>
    <t>728455507805</t>
  </si>
  <si>
    <t>CLASSIC CHAIN BASIC</t>
  </si>
  <si>
    <t>BL805HTOWSD</t>
  </si>
  <si>
    <t>BEIGE</t>
  </si>
  <si>
    <t>MATOUK/JOHN MATOUK AND CO INC</t>
  </si>
  <si>
    <t>734737532724</t>
  </si>
  <si>
    <t>Fairfield Square Collection Paris Gold 8-Pc. Reversible Qu White Queen</t>
  </si>
  <si>
    <t>18393224NCPV</t>
  </si>
  <si>
    <t>733001487661</t>
  </si>
  <si>
    <t>Martha Stewart Collection Whim By Martha Stewart Collect Paris Queen</t>
  </si>
  <si>
    <t>100103215QN</t>
  </si>
  <si>
    <t>MARTHA STEWART-EDI/RWI/KOHINOOR</t>
  </si>
  <si>
    <t>671826989567</t>
  </si>
  <si>
    <t>F. Scott Fitzgerald F Scott Fitzgerald Rendezvous Gold</t>
  </si>
  <si>
    <t>REGO-P17</t>
  </si>
  <si>
    <t>675716573164</t>
  </si>
  <si>
    <t>Madison Park Emilia 50 x 95 Lined Faux-Si Pewter 50x95</t>
  </si>
  <si>
    <t>MP40-1300</t>
  </si>
  <si>
    <t>FAKE-SILK FABRIC AND LINING: POLYESTER</t>
  </si>
  <si>
    <t>86569034298</t>
  </si>
  <si>
    <t>JLA Home Intelligent Design Novelty 4-P Grey Llamas Queen</t>
  </si>
  <si>
    <t>ID20-1437</t>
  </si>
  <si>
    <t>733001259503</t>
  </si>
  <si>
    <t>Martha Stewart Collection Plush Bath Robe White ONE SIZE</t>
  </si>
  <si>
    <t>883893512511</t>
  </si>
  <si>
    <t>Nautica Nautica Awning Stripe Plush Th Medium Beige 50x60</t>
  </si>
  <si>
    <t>675716536886</t>
  </si>
  <si>
    <t>Intelligent Design Intelligent Design Olivia 72 Blue 72X72</t>
  </si>
  <si>
    <t>ID70-202</t>
  </si>
  <si>
    <t>848336072342</t>
  </si>
  <si>
    <t>Levtex Levtex Home Pom Pom White King White</t>
  </si>
  <si>
    <t>L12002SHK</t>
  </si>
  <si>
    <t>LEVTEX BABY/LEVTEX LLC</t>
  </si>
  <si>
    <t>750105168975</t>
  </si>
  <si>
    <t>Tommy Bahama Home Ultimate Comfort Set of Two St White Queen</t>
  </si>
  <si>
    <t>PI50011Q</t>
  </si>
  <si>
    <t>728455507812</t>
  </si>
  <si>
    <t>BL805WTOWSD</t>
  </si>
  <si>
    <t>WASH CLOTH</t>
  </si>
  <si>
    <t>848336072335</t>
  </si>
  <si>
    <t>Levtex Levtex Home Pom Pom White Stan White</t>
  </si>
  <si>
    <t>L12000SH22</t>
  </si>
  <si>
    <t>728455540871</t>
  </si>
  <si>
    <t>LOTUS BASIC</t>
  </si>
  <si>
    <t>M008HTOWCH</t>
  </si>
  <si>
    <t>MADE IN PORTUGAL</t>
  </si>
  <si>
    <t>728455897913</t>
  </si>
  <si>
    <t>LOTUS HAND TOWEL POO</t>
  </si>
  <si>
    <t>M008HTOWPL</t>
  </si>
  <si>
    <t>814760023717</t>
  </si>
  <si>
    <t>ienjoy Home Home Collection Premium Pleate White King</t>
  </si>
  <si>
    <t>BDSKSLDKIENJ</t>
  </si>
  <si>
    <t>IENJOY HOME/IENJOY LLC</t>
  </si>
  <si>
    <t>10482036206</t>
  </si>
  <si>
    <t>Magic Skirt Tailored Queen Bed Skirt Ivory Queen</t>
  </si>
  <si>
    <t>FRE-245-14-IVOR-03</t>
  </si>
  <si>
    <t>791551752516</t>
  </si>
  <si>
    <t>Berkshire Berkshire Classic Velvety Plus Chateau Grey FullQueen</t>
  </si>
  <si>
    <t>13841-FQ-64K</t>
  </si>
  <si>
    <t>29927517460</t>
  </si>
  <si>
    <t>Sun Zero Preston 40 x 84 Blackout Rod Marine 40x84</t>
  </si>
  <si>
    <t>40X84/7</t>
  </si>
  <si>
    <t>726895579376</t>
  </si>
  <si>
    <t>Martha Stewart Collection Solid Open Stock 400-Thread Co Ivory Twin Flat</t>
  </si>
  <si>
    <t>10021051TW</t>
  </si>
  <si>
    <t>REGTWNFLAT</t>
  </si>
  <si>
    <t>MARTHA STEWART-EDI/RWI/NAISHAT</t>
  </si>
  <si>
    <t>29927373547</t>
  </si>
  <si>
    <t>No. 918 No. 918 Montego 48 x 63 Curt White 48x63</t>
  </si>
  <si>
    <t>85214127743</t>
  </si>
  <si>
    <t>Disney Toddler Girls Princess Belle, Pink NO SIZE</t>
  </si>
  <si>
    <t>7368416P</t>
  </si>
  <si>
    <t>NOJO BABY &amp; KIDS INC</t>
  </si>
  <si>
    <t>96675351011</t>
  </si>
  <si>
    <t>Charisma Charisma Hybrid Bed Pillow wit White Standard</t>
  </si>
  <si>
    <t>190714398835</t>
  </si>
  <si>
    <t>Lacourte LAST ACT Christmas Truck 14 Multi 14x24</t>
  </si>
  <si>
    <t>1129369MULTI14X24</t>
  </si>
  <si>
    <t>16X24</t>
  </si>
  <si>
    <t>193842103678</t>
  </si>
  <si>
    <t>J Queen New York Luciana Indigo Indigo King 4 Beige King</t>
  </si>
  <si>
    <t>2483100KCS</t>
  </si>
  <si>
    <t>846339074158</t>
  </si>
  <si>
    <t>J Queen New York Sicily Pearl Queen Comforter S Pearl Queen</t>
  </si>
  <si>
    <t>2172116QCS</t>
  </si>
  <si>
    <t>75% POLYESTER / 25% RAYON</t>
  </si>
  <si>
    <t>848742092255</t>
  </si>
  <si>
    <t>Lush Decor Darla Ruched 3-Piece FullQuee Ivory FullQueen</t>
  </si>
  <si>
    <t>16T004800</t>
  </si>
  <si>
    <t>LUSH DECOR/TRIANGLE HOME FASHIONS</t>
  </si>
  <si>
    <t>726895696295</t>
  </si>
  <si>
    <t>Hotel Collection Linen King Duvet Cover Grey King</t>
  </si>
  <si>
    <t>100024678KG</t>
  </si>
  <si>
    <t>IN LINEN, A LIGHTWEIGHT YEAR-ROUND FABRIC THAT GETS SOFTER WITH EVERY WASH</t>
  </si>
  <si>
    <t>732997906446</t>
  </si>
  <si>
    <t>Hotel Collection Hotel Collection Terra King Co Grey King</t>
  </si>
  <si>
    <t>100070643KG</t>
  </si>
  <si>
    <t>FRONT: COTTON/POLYESTER BLEND, BACK: 100% COTTON, FILL: 100% POLYESTER</t>
  </si>
  <si>
    <t>86569252289</t>
  </si>
  <si>
    <t>Madison Park Essentials Essentials Joella Queen 24-Pc. Blush Queen</t>
  </si>
  <si>
    <t>MPE10-809</t>
  </si>
  <si>
    <t>COMFORTER/SHAM/BEDSKIRT/EUROPEAN SHAM/PILLOW COVER/WINDOW PANELS/TIEBACKS/WINDOW VALANCE: POLYESTER; SHEET SET: POLYESTER 85 GRAMS PER SQUARE METER; COMFORTER FILL: POLYESTER 270 GRAMS PER SQUARE METER; PILLOW: POLYESTER FILL</t>
  </si>
  <si>
    <t>706257998274</t>
  </si>
  <si>
    <t>Hotel Collection Fresco Quilted King Coverlet Gold King</t>
  </si>
  <si>
    <t>FO23KC790</t>
  </si>
  <si>
    <t>679610818857</t>
  </si>
  <si>
    <t>Riverbrook Home Riverbrook Home Genoa 9 Piece Gray Queen</t>
  </si>
  <si>
    <t>86569014870</t>
  </si>
  <si>
    <t>Madison Park Lola Cotton 7-Pc. Queen Comfor GreyBlush Queen</t>
  </si>
  <si>
    <t>MP10-5670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</si>
</sst>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164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B32" sqref="B32"/>
    </sheetView>
  </sheetViews>
  <sheetFormatPr defaultRowHeight="15" x14ac:dyDescent="0.25"/>
  <cols>
    <col min="2" max="2" width="12.5703125" bestFit="1" customWidth="1"/>
  </cols>
  <sheetData>
    <row r="1" spans="1:2" x14ac:dyDescent="0.25">
      <c r="A1" s="1" t="s">
        <v>3406</v>
      </c>
      <c r="B1" s="2" t="s">
        <v>3407</v>
      </c>
    </row>
    <row r="2" spans="1:2" x14ac:dyDescent="0.25">
      <c r="A2" s="3">
        <v>71</v>
      </c>
      <c r="B2" s="4">
        <v>4455.05</v>
      </c>
    </row>
    <row r="3" spans="1:2" x14ac:dyDescent="0.25">
      <c r="A3" s="3">
        <v>63</v>
      </c>
      <c r="B3" s="4">
        <v>4299.6099999999997</v>
      </c>
    </row>
    <row r="4" spans="1:2" x14ac:dyDescent="0.25">
      <c r="A4" s="3">
        <v>66</v>
      </c>
      <c r="B4" s="4">
        <v>4618.72</v>
      </c>
    </row>
    <row r="5" spans="1:2" x14ac:dyDescent="0.25">
      <c r="A5" s="3">
        <v>73</v>
      </c>
      <c r="B5" s="4">
        <v>4515.8599999999997</v>
      </c>
    </row>
    <row r="6" spans="1:2" x14ac:dyDescent="0.25">
      <c r="A6" s="3">
        <v>65</v>
      </c>
      <c r="B6" s="4">
        <v>4591.3999999999996</v>
      </c>
    </row>
    <row r="7" spans="1:2" x14ac:dyDescent="0.25">
      <c r="A7" s="3">
        <v>63</v>
      </c>
      <c r="B7" s="4">
        <v>5078.3999999999996</v>
      </c>
    </row>
    <row r="8" spans="1:2" x14ac:dyDescent="0.25">
      <c r="A8" s="3">
        <v>61</v>
      </c>
      <c r="B8" s="4">
        <v>4833.67</v>
      </c>
    </row>
    <row r="9" spans="1:2" x14ac:dyDescent="0.25">
      <c r="A9" s="3">
        <v>64</v>
      </c>
      <c r="B9" s="4">
        <v>4797.83</v>
      </c>
    </row>
    <row r="10" spans="1:2" x14ac:dyDescent="0.25">
      <c r="A10" s="3">
        <v>77</v>
      </c>
      <c r="B10" s="4">
        <v>4208.47</v>
      </c>
    </row>
    <row r="11" spans="1:2" x14ac:dyDescent="0.25">
      <c r="A11" s="3">
        <v>60</v>
      </c>
      <c r="B11" s="4">
        <v>5010.57</v>
      </c>
    </row>
    <row r="12" spans="1:2" x14ac:dyDescent="0.25">
      <c r="A12" s="3">
        <v>69</v>
      </c>
      <c r="B12" s="4">
        <v>4619.28</v>
      </c>
    </row>
    <row r="13" spans="1:2" x14ac:dyDescent="0.25">
      <c r="A13" s="3">
        <v>54</v>
      </c>
      <c r="B13" s="4">
        <v>4070.56</v>
      </c>
    </row>
    <row r="14" spans="1:2" x14ac:dyDescent="0.25">
      <c r="A14" s="3">
        <v>71</v>
      </c>
      <c r="B14" s="4">
        <v>4904.6000000000004</v>
      </c>
    </row>
    <row r="15" spans="1:2" x14ac:dyDescent="0.25">
      <c r="A15" s="3">
        <v>55</v>
      </c>
      <c r="B15" s="4">
        <v>4405.53</v>
      </c>
    </row>
    <row r="16" spans="1:2" x14ac:dyDescent="0.25">
      <c r="A16" s="3">
        <v>49</v>
      </c>
      <c r="B16" s="4">
        <v>6424.64</v>
      </c>
    </row>
    <row r="17" spans="1:2" x14ac:dyDescent="0.25">
      <c r="A17" s="3">
        <v>69</v>
      </c>
      <c r="B17" s="4">
        <v>5670.7</v>
      </c>
    </row>
    <row r="18" spans="1:2" x14ac:dyDescent="0.25">
      <c r="A18" s="3">
        <v>48</v>
      </c>
      <c r="B18" s="4">
        <v>3417.65</v>
      </c>
    </row>
    <row r="19" spans="1:2" x14ac:dyDescent="0.25">
      <c r="A19" s="3">
        <v>55</v>
      </c>
      <c r="B19" s="4">
        <v>4646.55</v>
      </c>
    </row>
    <row r="20" spans="1:2" x14ac:dyDescent="0.25">
      <c r="A20" s="3">
        <v>55</v>
      </c>
      <c r="B20" s="4">
        <v>4408.1899999999996</v>
      </c>
    </row>
    <row r="21" spans="1:2" x14ac:dyDescent="0.25">
      <c r="A21" s="3">
        <v>73</v>
      </c>
      <c r="B21" s="4">
        <v>4956.5600000000004</v>
      </c>
    </row>
    <row r="22" spans="1:2" x14ac:dyDescent="0.25">
      <c r="A22" s="3">
        <v>68</v>
      </c>
      <c r="B22" s="4">
        <v>4608.72</v>
      </c>
    </row>
    <row r="23" spans="1:2" x14ac:dyDescent="0.25">
      <c r="A23" s="3">
        <v>67</v>
      </c>
      <c r="B23" s="4">
        <v>5003.6400000000003</v>
      </c>
    </row>
    <row r="24" spans="1:2" x14ac:dyDescent="0.25">
      <c r="A24" s="3">
        <v>66</v>
      </c>
      <c r="B24" s="4">
        <v>5324.88</v>
      </c>
    </row>
    <row r="25" spans="1:2" x14ac:dyDescent="0.25">
      <c r="A25" s="3">
        <v>56</v>
      </c>
      <c r="B25" s="4">
        <v>5058.22</v>
      </c>
    </row>
    <row r="26" spans="1:2" x14ac:dyDescent="0.25">
      <c r="A26" s="3">
        <v>63</v>
      </c>
      <c r="B26" s="4">
        <v>4757.6400000000003</v>
      </c>
    </row>
    <row r="27" spans="1:2" x14ac:dyDescent="0.25">
      <c r="A27" s="3">
        <v>60</v>
      </c>
      <c r="B27" s="4">
        <v>4218.5</v>
      </c>
    </row>
    <row r="28" spans="1:2" x14ac:dyDescent="0.25">
      <c r="A28" s="3">
        <v>76</v>
      </c>
      <c r="B28" s="4">
        <v>4316.49</v>
      </c>
    </row>
    <row r="29" spans="1:2" x14ac:dyDescent="0.25">
      <c r="A29" s="3">
        <v>70</v>
      </c>
      <c r="B29" s="4">
        <v>4190.54</v>
      </c>
    </row>
    <row r="30" spans="1:2" x14ac:dyDescent="0.25">
      <c r="A30" s="3">
        <v>53</v>
      </c>
      <c r="B30" s="4">
        <v>3697.49</v>
      </c>
    </row>
    <row r="31" spans="1:2" x14ac:dyDescent="0.25">
      <c r="A31" s="3">
        <v>50</v>
      </c>
      <c r="B31" s="4">
        <v>2696.62</v>
      </c>
    </row>
    <row r="32" spans="1:2" x14ac:dyDescent="0.25">
      <c r="A32" s="1">
        <f>SUM(A2:A31)</f>
        <v>1890</v>
      </c>
      <c r="B32" s="2">
        <f>SUM(B2:B31)</f>
        <v>137806.57999999999</v>
      </c>
    </row>
  </sheetData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3876</v>
      </c>
      <c r="B2" s="7" t="s">
        <v>3877</v>
      </c>
      <c r="C2" s="8">
        <v>1</v>
      </c>
      <c r="D2" s="9">
        <v>78.11</v>
      </c>
      <c r="E2" s="8" t="s">
        <v>3878</v>
      </c>
      <c r="F2" s="7"/>
      <c r="G2" s="10"/>
      <c r="H2" s="7" t="s">
        <v>3676</v>
      </c>
      <c r="I2" s="7" t="s">
        <v>3548</v>
      </c>
      <c r="J2" s="7" t="s">
        <v>3564</v>
      </c>
      <c r="K2" s="7" t="s">
        <v>3879</v>
      </c>
      <c r="L2" s="11" t="str">
        <f>HYPERLINK("http://slimages.macys.com/is/image/MCY/3974561 ")</f>
        <v xml:space="preserve">http://slimages.macys.com/is/image/MCY/3974561 </v>
      </c>
    </row>
    <row r="3" spans="1:12" ht="39.950000000000003" customHeight="1" x14ac:dyDescent="0.25">
      <c r="A3" s="6" t="s">
        <v>2898</v>
      </c>
      <c r="B3" s="7" t="s">
        <v>2899</v>
      </c>
      <c r="C3" s="8">
        <v>1</v>
      </c>
      <c r="D3" s="9">
        <v>242.99</v>
      </c>
      <c r="E3" s="8" t="s">
        <v>2900</v>
      </c>
      <c r="F3" s="7" t="s">
        <v>3445</v>
      </c>
      <c r="G3" s="10"/>
      <c r="H3" s="7" t="s">
        <v>3478</v>
      </c>
      <c r="I3" s="7" t="s">
        <v>2609</v>
      </c>
      <c r="J3" s="7" t="s">
        <v>3426</v>
      </c>
      <c r="K3" s="7" t="s">
        <v>2610</v>
      </c>
      <c r="L3" s="11" t="str">
        <f>HYPERLINK("http://slimages.macys.com/is/image/MCY/14330219 ")</f>
        <v xml:space="preserve">http://slimages.macys.com/is/image/MCY/14330219 </v>
      </c>
    </row>
    <row r="4" spans="1:12" ht="39.950000000000003" customHeight="1" x14ac:dyDescent="0.25">
      <c r="A4" s="6" t="s">
        <v>2901</v>
      </c>
      <c r="B4" s="7" t="s">
        <v>2902</v>
      </c>
      <c r="C4" s="8">
        <v>1</v>
      </c>
      <c r="D4" s="9">
        <v>124.99</v>
      </c>
      <c r="E4" s="8" t="s">
        <v>2903</v>
      </c>
      <c r="F4" s="7" t="s">
        <v>3431</v>
      </c>
      <c r="G4" s="10"/>
      <c r="H4" s="7" t="s">
        <v>3542</v>
      </c>
      <c r="I4" s="7" t="s">
        <v>4234</v>
      </c>
      <c r="J4" s="7" t="s">
        <v>3426</v>
      </c>
      <c r="K4" s="7"/>
      <c r="L4" s="11" t="str">
        <f>HYPERLINK("http://slimages.macys.com/is/image/MCY/8433154 ")</f>
        <v xml:space="preserve">http://slimages.macys.com/is/image/MCY/8433154 </v>
      </c>
    </row>
    <row r="5" spans="1:12" ht="39.950000000000003" customHeight="1" x14ac:dyDescent="0.25">
      <c r="A5" s="6" t="s">
        <v>2904</v>
      </c>
      <c r="B5" s="7" t="s">
        <v>2905</v>
      </c>
      <c r="C5" s="8">
        <v>1</v>
      </c>
      <c r="D5" s="9">
        <v>179.99</v>
      </c>
      <c r="E5" s="8">
        <v>82201</v>
      </c>
      <c r="F5" s="7" t="s">
        <v>3892</v>
      </c>
      <c r="G5" s="10"/>
      <c r="H5" s="7" t="s">
        <v>3478</v>
      </c>
      <c r="I5" s="7" t="s">
        <v>3479</v>
      </c>
      <c r="J5" s="7" t="s">
        <v>3426</v>
      </c>
      <c r="K5" s="7" t="s">
        <v>3888</v>
      </c>
      <c r="L5" s="11" t="str">
        <f>HYPERLINK("http://slimages.macys.com/is/image/MCY/16522333 ")</f>
        <v xml:space="preserve">http://slimages.macys.com/is/image/MCY/16522333 </v>
      </c>
    </row>
    <row r="6" spans="1:12" ht="39.950000000000003" customHeight="1" x14ac:dyDescent="0.25">
      <c r="A6" s="6" t="s">
        <v>2906</v>
      </c>
      <c r="B6" s="7" t="s">
        <v>2907</v>
      </c>
      <c r="C6" s="8">
        <v>1</v>
      </c>
      <c r="D6" s="9">
        <v>144</v>
      </c>
      <c r="E6" s="8" t="s">
        <v>2908</v>
      </c>
      <c r="F6" s="7" t="s">
        <v>3484</v>
      </c>
      <c r="G6" s="10"/>
      <c r="H6" s="7" t="s">
        <v>3695</v>
      </c>
      <c r="I6" s="7" t="s">
        <v>2909</v>
      </c>
      <c r="J6" s="7" t="s">
        <v>3426</v>
      </c>
      <c r="K6" s="7" t="s">
        <v>3811</v>
      </c>
      <c r="L6" s="11" t="str">
        <f>HYPERLINK("http://slimages.macys.com/is/image/MCY/10441025 ")</f>
        <v xml:space="preserve">http://slimages.macys.com/is/image/MCY/10441025 </v>
      </c>
    </row>
    <row r="7" spans="1:12" ht="39.950000000000003" customHeight="1" x14ac:dyDescent="0.25">
      <c r="A7" s="6" t="s">
        <v>2910</v>
      </c>
      <c r="B7" s="7" t="s">
        <v>2911</v>
      </c>
      <c r="C7" s="8">
        <v>1</v>
      </c>
      <c r="D7" s="9">
        <v>130.99</v>
      </c>
      <c r="E7" s="8" t="s">
        <v>2912</v>
      </c>
      <c r="F7" s="7" t="s">
        <v>3431</v>
      </c>
      <c r="G7" s="10" t="s">
        <v>2913</v>
      </c>
      <c r="H7" s="7" t="s">
        <v>3583</v>
      </c>
      <c r="I7" s="7" t="s">
        <v>2914</v>
      </c>
      <c r="J7" s="7" t="s">
        <v>3426</v>
      </c>
      <c r="K7" s="7" t="s">
        <v>3556</v>
      </c>
      <c r="L7" s="11" t="str">
        <f>HYPERLINK("http://slimages.macys.com/is/image/MCY/13068173 ")</f>
        <v xml:space="preserve">http://slimages.macys.com/is/image/MCY/13068173 </v>
      </c>
    </row>
    <row r="8" spans="1:12" ht="39.950000000000003" customHeight="1" x14ac:dyDescent="0.25">
      <c r="A8" s="6" t="s">
        <v>2915</v>
      </c>
      <c r="B8" s="7" t="s">
        <v>2916</v>
      </c>
      <c r="C8" s="8">
        <v>1</v>
      </c>
      <c r="D8" s="9">
        <v>99.99</v>
      </c>
      <c r="E8" s="8" t="s">
        <v>2917</v>
      </c>
      <c r="F8" s="7" t="s">
        <v>3720</v>
      </c>
      <c r="G8" s="10"/>
      <c r="H8" s="7" t="s">
        <v>3478</v>
      </c>
      <c r="I8" s="7" t="s">
        <v>3553</v>
      </c>
      <c r="J8" s="7" t="s">
        <v>3426</v>
      </c>
      <c r="K8" s="7" t="s">
        <v>2918</v>
      </c>
      <c r="L8" s="11" t="str">
        <f>HYPERLINK("http://slimages.macys.com/is/image/MCY/8930319 ")</f>
        <v xml:space="preserve">http://slimages.macys.com/is/image/MCY/8930319 </v>
      </c>
    </row>
    <row r="9" spans="1:12" ht="39.950000000000003" customHeight="1" x14ac:dyDescent="0.25">
      <c r="A9" s="6" t="s">
        <v>2919</v>
      </c>
      <c r="B9" s="7" t="s">
        <v>2920</v>
      </c>
      <c r="C9" s="8">
        <v>1</v>
      </c>
      <c r="D9" s="9">
        <v>99.99</v>
      </c>
      <c r="E9" s="8" t="s">
        <v>2921</v>
      </c>
      <c r="F9" s="7" t="s">
        <v>3511</v>
      </c>
      <c r="G9" s="10"/>
      <c r="H9" s="7" t="s">
        <v>3467</v>
      </c>
      <c r="I9" s="7" t="s">
        <v>2922</v>
      </c>
      <c r="J9" s="7" t="s">
        <v>3613</v>
      </c>
      <c r="K9" s="7" t="s">
        <v>2923</v>
      </c>
      <c r="L9" s="11" t="str">
        <f>HYPERLINK("http://slimages.macys.com/is/image/MCY/11640418 ")</f>
        <v xml:space="preserve">http://slimages.macys.com/is/image/MCY/11640418 </v>
      </c>
    </row>
    <row r="10" spans="1:12" ht="39.950000000000003" customHeight="1" x14ac:dyDescent="0.25">
      <c r="A10" s="6" t="s">
        <v>2924</v>
      </c>
      <c r="B10" s="7" t="s">
        <v>2925</v>
      </c>
      <c r="C10" s="8">
        <v>1</v>
      </c>
      <c r="D10" s="9">
        <v>94.99</v>
      </c>
      <c r="E10" s="8" t="s">
        <v>2926</v>
      </c>
      <c r="F10" s="7" t="s">
        <v>4022</v>
      </c>
      <c r="G10" s="10" t="s">
        <v>2927</v>
      </c>
      <c r="H10" s="7" t="s">
        <v>3440</v>
      </c>
      <c r="I10" s="7" t="s">
        <v>3948</v>
      </c>
      <c r="J10" s="7" t="s">
        <v>3426</v>
      </c>
      <c r="K10" s="7" t="s">
        <v>3949</v>
      </c>
      <c r="L10" s="11" t="str">
        <f>HYPERLINK("http://slimages.macys.com/is/image/MCY/8182285 ")</f>
        <v xml:space="preserve">http://slimages.macys.com/is/image/MCY/8182285 </v>
      </c>
    </row>
    <row r="11" spans="1:12" ht="39.950000000000003" customHeight="1" x14ac:dyDescent="0.25">
      <c r="A11" s="6" t="s">
        <v>2928</v>
      </c>
      <c r="B11" s="7" t="s">
        <v>2929</v>
      </c>
      <c r="C11" s="8">
        <v>3</v>
      </c>
      <c r="D11" s="9">
        <v>299.97000000000003</v>
      </c>
      <c r="E11" s="8" t="s">
        <v>2930</v>
      </c>
      <c r="F11" s="7" t="s">
        <v>3804</v>
      </c>
      <c r="G11" s="10"/>
      <c r="H11" s="7" t="s">
        <v>3452</v>
      </c>
      <c r="I11" s="7" t="s">
        <v>3453</v>
      </c>
      <c r="J11" s="7" t="s">
        <v>3426</v>
      </c>
      <c r="K11" s="7" t="s">
        <v>2931</v>
      </c>
      <c r="L11" s="11" t="str">
        <f>HYPERLINK("http://slimages.macys.com/is/image/MCY/15787487 ")</f>
        <v xml:space="preserve">http://slimages.macys.com/is/image/MCY/15787487 </v>
      </c>
    </row>
    <row r="12" spans="1:12" ht="39.950000000000003" customHeight="1" x14ac:dyDescent="0.25">
      <c r="A12" s="6" t="s">
        <v>2932</v>
      </c>
      <c r="B12" s="7" t="s">
        <v>2933</v>
      </c>
      <c r="C12" s="8">
        <v>1</v>
      </c>
      <c r="D12" s="9">
        <v>64.989999999999995</v>
      </c>
      <c r="E12" s="8">
        <v>216283</v>
      </c>
      <c r="F12" s="7" t="s">
        <v>3431</v>
      </c>
      <c r="G12" s="10"/>
      <c r="H12" s="7" t="s">
        <v>3490</v>
      </c>
      <c r="I12" s="7" t="s">
        <v>4175</v>
      </c>
      <c r="J12" s="7" t="s">
        <v>3426</v>
      </c>
      <c r="K12" s="7" t="s">
        <v>3492</v>
      </c>
      <c r="L12" s="11" t="str">
        <f>HYPERLINK("http://slimages.macys.com/is/image/MCY/10754879 ")</f>
        <v xml:space="preserve">http://slimages.macys.com/is/image/MCY/10754879 </v>
      </c>
    </row>
    <row r="13" spans="1:12" ht="39.950000000000003" customHeight="1" x14ac:dyDescent="0.25">
      <c r="A13" s="6" t="s">
        <v>2934</v>
      </c>
      <c r="B13" s="7" t="s">
        <v>2935</v>
      </c>
      <c r="C13" s="8">
        <v>1</v>
      </c>
      <c r="D13" s="9">
        <v>89.99</v>
      </c>
      <c r="E13" s="8" t="s">
        <v>2936</v>
      </c>
      <c r="F13" s="7" t="s">
        <v>3445</v>
      </c>
      <c r="G13" s="10"/>
      <c r="H13" s="7" t="s">
        <v>3467</v>
      </c>
      <c r="I13" s="7" t="s">
        <v>2922</v>
      </c>
      <c r="J13" s="7"/>
      <c r="K13" s="7"/>
      <c r="L13" s="11" t="str">
        <f>HYPERLINK("http://slimages.macys.com/is/image/MCY/18097083 ")</f>
        <v xml:space="preserve">http://slimages.macys.com/is/image/MCY/18097083 </v>
      </c>
    </row>
    <row r="14" spans="1:12" ht="39.950000000000003" customHeight="1" x14ac:dyDescent="0.25">
      <c r="A14" s="6" t="s">
        <v>3924</v>
      </c>
      <c r="B14" s="7" t="s">
        <v>3925</v>
      </c>
      <c r="C14" s="8">
        <v>1</v>
      </c>
      <c r="D14" s="9">
        <v>64.989999999999995</v>
      </c>
      <c r="E14" s="8" t="s">
        <v>3926</v>
      </c>
      <c r="F14" s="7" t="s">
        <v>3445</v>
      </c>
      <c r="G14" s="10"/>
      <c r="H14" s="7" t="s">
        <v>3525</v>
      </c>
      <c r="I14" s="7" t="s">
        <v>3548</v>
      </c>
      <c r="J14" s="7" t="s">
        <v>3564</v>
      </c>
      <c r="K14" s="7" t="s">
        <v>3927</v>
      </c>
      <c r="L14" s="11" t="str">
        <f>HYPERLINK("http://slimages.macys.com/is/image/MCY/8589816 ")</f>
        <v xml:space="preserve">http://slimages.macys.com/is/image/MCY/8589816 </v>
      </c>
    </row>
    <row r="15" spans="1:12" ht="39.950000000000003" customHeight="1" x14ac:dyDescent="0.25">
      <c r="A15" s="6" t="s">
        <v>2937</v>
      </c>
      <c r="B15" s="7" t="s">
        <v>2938</v>
      </c>
      <c r="C15" s="8">
        <v>1</v>
      </c>
      <c r="D15" s="9">
        <v>79.989999999999995</v>
      </c>
      <c r="E15" s="8" t="s">
        <v>2939</v>
      </c>
      <c r="F15" s="7" t="s">
        <v>3463</v>
      </c>
      <c r="G15" s="10"/>
      <c r="H15" s="7" t="s">
        <v>3490</v>
      </c>
      <c r="I15" s="7" t="s">
        <v>4230</v>
      </c>
      <c r="J15" s="7" t="s">
        <v>3426</v>
      </c>
      <c r="K15" s="7" t="s">
        <v>3518</v>
      </c>
      <c r="L15" s="11" t="str">
        <f>HYPERLINK("http://slimages.macys.com/is/image/MCY/13062395 ")</f>
        <v xml:space="preserve">http://slimages.macys.com/is/image/MCY/13062395 </v>
      </c>
    </row>
    <row r="16" spans="1:12" ht="39.950000000000003" customHeight="1" x14ac:dyDescent="0.25">
      <c r="A16" s="6" t="s">
        <v>2940</v>
      </c>
      <c r="B16" s="7" t="s">
        <v>2941</v>
      </c>
      <c r="C16" s="8">
        <v>1</v>
      </c>
      <c r="D16" s="9">
        <v>79.989999999999995</v>
      </c>
      <c r="E16" s="8" t="s">
        <v>2942</v>
      </c>
      <c r="F16" s="7" t="s">
        <v>3511</v>
      </c>
      <c r="G16" s="10"/>
      <c r="H16" s="7" t="s">
        <v>3440</v>
      </c>
      <c r="I16" s="7" t="s">
        <v>4036</v>
      </c>
      <c r="J16" s="7" t="s">
        <v>3426</v>
      </c>
      <c r="K16" s="7"/>
      <c r="L16" s="11" t="str">
        <f>HYPERLINK("http://slimages.macys.com/is/image/MCY/9621146 ")</f>
        <v xml:space="preserve">http://slimages.macys.com/is/image/MCY/9621146 </v>
      </c>
    </row>
    <row r="17" spans="1:12" ht="39.950000000000003" customHeight="1" x14ac:dyDescent="0.25">
      <c r="A17" s="6" t="s">
        <v>2943</v>
      </c>
      <c r="B17" s="7" t="s">
        <v>2944</v>
      </c>
      <c r="C17" s="8">
        <v>1</v>
      </c>
      <c r="D17" s="9">
        <v>39.99</v>
      </c>
      <c r="E17" s="8">
        <v>19351232</v>
      </c>
      <c r="F17" s="7" t="s">
        <v>3445</v>
      </c>
      <c r="G17" s="10"/>
      <c r="H17" s="7" t="s">
        <v>3542</v>
      </c>
      <c r="I17" s="7" t="s">
        <v>3517</v>
      </c>
      <c r="J17" s="7" t="s">
        <v>3426</v>
      </c>
      <c r="K17" s="7"/>
      <c r="L17" s="11" t="str">
        <f>HYPERLINK("http://slimages.macys.com/is/image/MCY/10010890 ")</f>
        <v xml:space="preserve">http://slimages.macys.com/is/image/MCY/10010890 </v>
      </c>
    </row>
    <row r="18" spans="1:12" ht="39.950000000000003" customHeight="1" x14ac:dyDescent="0.25">
      <c r="A18" s="6" t="s">
        <v>2945</v>
      </c>
      <c r="B18" s="7" t="s">
        <v>2946</v>
      </c>
      <c r="C18" s="8">
        <v>1</v>
      </c>
      <c r="D18" s="9">
        <v>39.99</v>
      </c>
      <c r="E18" s="8">
        <v>19352232</v>
      </c>
      <c r="F18" s="7" t="s">
        <v>3477</v>
      </c>
      <c r="G18" s="10"/>
      <c r="H18" s="7" t="s">
        <v>3542</v>
      </c>
      <c r="I18" s="7" t="s">
        <v>3517</v>
      </c>
      <c r="J18" s="7" t="s">
        <v>3426</v>
      </c>
      <c r="K18" s="7"/>
      <c r="L18" s="11" t="str">
        <f>HYPERLINK("http://slimages.macys.com/is/image/MCY/10010890 ")</f>
        <v xml:space="preserve">http://slimages.macys.com/is/image/MCY/10010890 </v>
      </c>
    </row>
    <row r="19" spans="1:12" ht="39.950000000000003" customHeight="1" x14ac:dyDescent="0.25">
      <c r="A19" s="6" t="s">
        <v>2947</v>
      </c>
      <c r="B19" s="7" t="s">
        <v>2948</v>
      </c>
      <c r="C19" s="8">
        <v>1</v>
      </c>
      <c r="D19" s="9">
        <v>29.99</v>
      </c>
      <c r="E19" s="8" t="s">
        <v>2949</v>
      </c>
      <c r="F19" s="7" t="s">
        <v>3445</v>
      </c>
      <c r="G19" s="10"/>
      <c r="H19" s="7" t="s">
        <v>3458</v>
      </c>
      <c r="I19" s="7" t="s">
        <v>2950</v>
      </c>
      <c r="J19" s="7" t="s">
        <v>3426</v>
      </c>
      <c r="K19" s="7" t="s">
        <v>3556</v>
      </c>
      <c r="L19" s="11" t="str">
        <f>HYPERLINK("http://slimages.macys.com/is/image/MCY/3243777 ")</f>
        <v xml:space="preserve">http://slimages.macys.com/is/image/MCY/3243777 </v>
      </c>
    </row>
    <row r="20" spans="1:12" ht="39.950000000000003" customHeight="1" x14ac:dyDescent="0.25">
      <c r="A20" s="6" t="s">
        <v>2951</v>
      </c>
      <c r="B20" s="7" t="s">
        <v>2952</v>
      </c>
      <c r="C20" s="8">
        <v>1</v>
      </c>
      <c r="D20" s="9">
        <v>64.989999999999995</v>
      </c>
      <c r="E20" s="8" t="s">
        <v>2953</v>
      </c>
      <c r="F20" s="7" t="s">
        <v>3445</v>
      </c>
      <c r="G20" s="10"/>
      <c r="H20" s="7" t="s">
        <v>3559</v>
      </c>
      <c r="I20" s="7" t="s">
        <v>4194</v>
      </c>
      <c r="J20" s="7" t="s">
        <v>3426</v>
      </c>
      <c r="K20" s="7" t="s">
        <v>2954</v>
      </c>
      <c r="L20" s="11" t="str">
        <f>HYPERLINK("http://slimages.macys.com/is/image/MCY/9950613 ")</f>
        <v xml:space="preserve">http://slimages.macys.com/is/image/MCY/9950613 </v>
      </c>
    </row>
    <row r="21" spans="1:12" ht="39.950000000000003" customHeight="1" x14ac:dyDescent="0.25">
      <c r="A21" s="6" t="s">
        <v>2955</v>
      </c>
      <c r="B21" s="7" t="s">
        <v>2956</v>
      </c>
      <c r="C21" s="8">
        <v>3</v>
      </c>
      <c r="D21" s="9">
        <v>119.97</v>
      </c>
      <c r="E21" s="8">
        <v>19461238</v>
      </c>
      <c r="F21" s="7" t="s">
        <v>3463</v>
      </c>
      <c r="G21" s="10"/>
      <c r="H21" s="7" t="s">
        <v>3542</v>
      </c>
      <c r="I21" s="7" t="s">
        <v>3517</v>
      </c>
      <c r="J21" s="7" t="s">
        <v>3426</v>
      </c>
      <c r="K21" s="7"/>
      <c r="L21" s="11" t="str">
        <f>HYPERLINK("http://slimages.macys.com/is/image/MCY/10307233 ")</f>
        <v xml:space="preserve">http://slimages.macys.com/is/image/MCY/10307233 </v>
      </c>
    </row>
    <row r="22" spans="1:12" ht="39.950000000000003" customHeight="1" x14ac:dyDescent="0.25">
      <c r="A22" s="6" t="s">
        <v>2957</v>
      </c>
      <c r="B22" s="7" t="s">
        <v>2958</v>
      </c>
      <c r="C22" s="8">
        <v>1</v>
      </c>
      <c r="D22" s="9">
        <v>61.99</v>
      </c>
      <c r="E22" s="8" t="s">
        <v>2959</v>
      </c>
      <c r="F22" s="7" t="s">
        <v>3445</v>
      </c>
      <c r="G22" s="10" t="s">
        <v>3512</v>
      </c>
      <c r="H22" s="7" t="s">
        <v>3490</v>
      </c>
      <c r="I22" s="7" t="s">
        <v>4001</v>
      </c>
      <c r="J22" s="7" t="s">
        <v>3426</v>
      </c>
      <c r="K22" s="7" t="s">
        <v>3518</v>
      </c>
      <c r="L22" s="11" t="str">
        <f>HYPERLINK("http://slimages.macys.com/is/image/MCY/10182117 ")</f>
        <v xml:space="preserve">http://slimages.macys.com/is/image/MCY/10182117 </v>
      </c>
    </row>
    <row r="23" spans="1:12" ht="39.950000000000003" customHeight="1" x14ac:dyDescent="0.25">
      <c r="A23" s="6" t="s">
        <v>2960</v>
      </c>
      <c r="B23" s="7" t="s">
        <v>2961</v>
      </c>
      <c r="C23" s="8">
        <v>1</v>
      </c>
      <c r="D23" s="9">
        <v>49.99</v>
      </c>
      <c r="E23" s="8" t="s">
        <v>2962</v>
      </c>
      <c r="F23" s="7" t="s">
        <v>3496</v>
      </c>
      <c r="G23" s="10"/>
      <c r="H23" s="7" t="s">
        <v>3478</v>
      </c>
      <c r="I23" s="7" t="s">
        <v>3517</v>
      </c>
      <c r="J23" s="7" t="s">
        <v>3426</v>
      </c>
      <c r="K23" s="7" t="s">
        <v>3518</v>
      </c>
      <c r="L23" s="11" t="str">
        <f>HYPERLINK("http://slimages.macys.com/is/image/MCY/8347198 ")</f>
        <v xml:space="preserve">http://slimages.macys.com/is/image/MCY/8347198 </v>
      </c>
    </row>
    <row r="24" spans="1:12" ht="39.950000000000003" customHeight="1" x14ac:dyDescent="0.25">
      <c r="A24" s="6" t="s">
        <v>2963</v>
      </c>
      <c r="B24" s="7" t="s">
        <v>2964</v>
      </c>
      <c r="C24" s="8">
        <v>1</v>
      </c>
      <c r="D24" s="9">
        <v>49.99</v>
      </c>
      <c r="E24" s="8" t="s">
        <v>2965</v>
      </c>
      <c r="F24" s="7"/>
      <c r="G24" s="10"/>
      <c r="H24" s="7" t="s">
        <v>3478</v>
      </c>
      <c r="I24" s="7" t="s">
        <v>3815</v>
      </c>
      <c r="J24" s="7"/>
      <c r="K24" s="7"/>
      <c r="L24" s="11" t="str">
        <f>HYPERLINK("http://slimages.macys.com/is/image/MCY/16826931 ")</f>
        <v xml:space="preserve">http://slimages.macys.com/is/image/MCY/16826931 </v>
      </c>
    </row>
    <row r="25" spans="1:12" ht="39.950000000000003" customHeight="1" x14ac:dyDescent="0.25">
      <c r="A25" s="6" t="s">
        <v>2966</v>
      </c>
      <c r="B25" s="7" t="s">
        <v>2967</v>
      </c>
      <c r="C25" s="8">
        <v>1</v>
      </c>
      <c r="D25" s="9">
        <v>34.99</v>
      </c>
      <c r="E25" s="8" t="s">
        <v>2968</v>
      </c>
      <c r="F25" s="7" t="s">
        <v>3755</v>
      </c>
      <c r="G25" s="10"/>
      <c r="H25" s="7" t="s">
        <v>3542</v>
      </c>
      <c r="I25" s="7" t="s">
        <v>2969</v>
      </c>
      <c r="J25" s="7" t="s">
        <v>3426</v>
      </c>
      <c r="K25" s="7" t="s">
        <v>3518</v>
      </c>
      <c r="L25" s="11" t="str">
        <f>HYPERLINK("http://slimages.macys.com/is/image/MCY/15721492 ")</f>
        <v xml:space="preserve">http://slimages.macys.com/is/image/MCY/15721492 </v>
      </c>
    </row>
    <row r="26" spans="1:12" ht="39.950000000000003" customHeight="1" x14ac:dyDescent="0.25">
      <c r="A26" s="6" t="s">
        <v>2970</v>
      </c>
      <c r="B26" s="7" t="s">
        <v>2971</v>
      </c>
      <c r="C26" s="8">
        <v>1</v>
      </c>
      <c r="D26" s="9">
        <v>39.99</v>
      </c>
      <c r="E26" s="8" t="s">
        <v>2972</v>
      </c>
      <c r="F26" s="7" t="s">
        <v>3748</v>
      </c>
      <c r="G26" s="10"/>
      <c r="H26" s="7" t="s">
        <v>3458</v>
      </c>
      <c r="I26" s="7" t="s">
        <v>3459</v>
      </c>
      <c r="J26" s="7" t="s">
        <v>3426</v>
      </c>
      <c r="K26" s="7"/>
      <c r="L26" s="11" t="str">
        <f>HYPERLINK("http://slimages.macys.com/is/image/MCY/8560502 ")</f>
        <v xml:space="preserve">http://slimages.macys.com/is/image/MCY/8560502 </v>
      </c>
    </row>
    <row r="27" spans="1:12" ht="39.950000000000003" customHeight="1" x14ac:dyDescent="0.25">
      <c r="A27" s="6" t="s">
        <v>2973</v>
      </c>
      <c r="B27" s="7" t="s">
        <v>2974</v>
      </c>
      <c r="C27" s="8">
        <v>1</v>
      </c>
      <c r="D27" s="9">
        <v>39.99</v>
      </c>
      <c r="E27" s="8" t="s">
        <v>2975</v>
      </c>
      <c r="F27" s="7" t="s">
        <v>3445</v>
      </c>
      <c r="G27" s="10" t="s">
        <v>2503</v>
      </c>
      <c r="H27" s="7" t="s">
        <v>3559</v>
      </c>
      <c r="I27" s="7" t="s">
        <v>3777</v>
      </c>
      <c r="J27" s="7"/>
      <c r="K27" s="7"/>
      <c r="L27" s="11" t="str">
        <f>HYPERLINK("http://slimages.macys.com/is/image/MCY/17546507 ")</f>
        <v xml:space="preserve">http://slimages.macys.com/is/image/MCY/17546507 </v>
      </c>
    </row>
    <row r="28" spans="1:12" ht="39.950000000000003" customHeight="1" x14ac:dyDescent="0.25">
      <c r="A28" s="6" t="s">
        <v>2976</v>
      </c>
      <c r="B28" s="7" t="s">
        <v>2977</v>
      </c>
      <c r="C28" s="8">
        <v>1</v>
      </c>
      <c r="D28" s="9">
        <v>40.99</v>
      </c>
      <c r="E28" s="8" t="s">
        <v>2978</v>
      </c>
      <c r="F28" s="7"/>
      <c r="G28" s="10"/>
      <c r="H28" s="7" t="s">
        <v>3478</v>
      </c>
      <c r="I28" s="7" t="s">
        <v>2572</v>
      </c>
      <c r="J28" s="7" t="s">
        <v>3426</v>
      </c>
      <c r="K28" s="7" t="s">
        <v>3811</v>
      </c>
      <c r="L28" s="11" t="str">
        <f>HYPERLINK("http://slimages.macys.com/is/image/MCY/12049791 ")</f>
        <v xml:space="preserve">http://slimages.macys.com/is/image/MCY/12049791 </v>
      </c>
    </row>
    <row r="29" spans="1:12" ht="39.950000000000003" customHeight="1" x14ac:dyDescent="0.25">
      <c r="A29" s="6" t="s">
        <v>3795</v>
      </c>
      <c r="B29" s="7" t="s">
        <v>3796</v>
      </c>
      <c r="C29" s="8">
        <v>2</v>
      </c>
      <c r="D29" s="9">
        <v>83.98</v>
      </c>
      <c r="E29" s="8" t="s">
        <v>3797</v>
      </c>
      <c r="F29" s="7" t="s">
        <v>3477</v>
      </c>
      <c r="G29" s="10"/>
      <c r="H29" s="7" t="s">
        <v>3676</v>
      </c>
      <c r="I29" s="7" t="s">
        <v>3677</v>
      </c>
      <c r="J29" s="7"/>
      <c r="K29" s="7"/>
      <c r="L29" s="11" t="str">
        <f>HYPERLINK("http://slimages.macys.com/is/image/MCY/9489266 ")</f>
        <v xml:space="preserve">http://slimages.macys.com/is/image/MCY/9489266 </v>
      </c>
    </row>
    <row r="30" spans="1:12" ht="39.950000000000003" customHeight="1" x14ac:dyDescent="0.25">
      <c r="A30" s="6" t="s">
        <v>2979</v>
      </c>
      <c r="B30" s="7" t="s">
        <v>2980</v>
      </c>
      <c r="C30" s="8">
        <v>1</v>
      </c>
      <c r="D30" s="9">
        <v>41.99</v>
      </c>
      <c r="E30" s="8" t="s">
        <v>3797</v>
      </c>
      <c r="F30" s="7" t="s">
        <v>3716</v>
      </c>
      <c r="G30" s="10"/>
      <c r="H30" s="7" t="s">
        <v>3676</v>
      </c>
      <c r="I30" s="7" t="s">
        <v>3677</v>
      </c>
      <c r="J30" s="7"/>
      <c r="K30" s="7" t="s">
        <v>2981</v>
      </c>
      <c r="L30" s="11" t="str">
        <f>HYPERLINK("http://slimages.macys.com/is/image/MCY/9489266 ")</f>
        <v xml:space="preserve">http://slimages.macys.com/is/image/MCY/9489266 </v>
      </c>
    </row>
    <row r="31" spans="1:12" ht="39.950000000000003" customHeight="1" x14ac:dyDescent="0.25">
      <c r="A31" s="6" t="s">
        <v>2982</v>
      </c>
      <c r="B31" s="7" t="s">
        <v>2983</v>
      </c>
      <c r="C31" s="8">
        <v>3</v>
      </c>
      <c r="D31" s="9">
        <v>101.97</v>
      </c>
      <c r="E31" s="8" t="s">
        <v>2984</v>
      </c>
      <c r="F31" s="7" t="s">
        <v>3477</v>
      </c>
      <c r="G31" s="10"/>
      <c r="H31" s="7" t="s">
        <v>3490</v>
      </c>
      <c r="I31" s="7" t="s">
        <v>3859</v>
      </c>
      <c r="J31" s="7" t="s">
        <v>3426</v>
      </c>
      <c r="K31" s="7" t="s">
        <v>4300</v>
      </c>
      <c r="L31" s="11" t="str">
        <f>HYPERLINK("http://slimages.macys.com/is/image/MCY/13534504 ")</f>
        <v xml:space="preserve">http://slimages.macys.com/is/image/MCY/13534504 </v>
      </c>
    </row>
    <row r="32" spans="1:12" ht="39.950000000000003" customHeight="1" x14ac:dyDescent="0.25">
      <c r="A32" s="6" t="s">
        <v>2985</v>
      </c>
      <c r="B32" s="7" t="s">
        <v>2986</v>
      </c>
      <c r="C32" s="8">
        <v>1</v>
      </c>
      <c r="D32" s="9">
        <v>34.99</v>
      </c>
      <c r="E32" s="8" t="s">
        <v>2987</v>
      </c>
      <c r="F32" s="7" t="s">
        <v>3610</v>
      </c>
      <c r="G32" s="10" t="s">
        <v>3547</v>
      </c>
      <c r="H32" s="7" t="s">
        <v>3525</v>
      </c>
      <c r="I32" s="7" t="s">
        <v>2988</v>
      </c>
      <c r="J32" s="7" t="s">
        <v>3564</v>
      </c>
      <c r="K32" s="7"/>
      <c r="L32" s="11" t="str">
        <f>HYPERLINK("http://slimages.macys.com/is/image/MCY/9555756 ")</f>
        <v xml:space="preserve">http://slimages.macys.com/is/image/MCY/9555756 </v>
      </c>
    </row>
    <row r="33" spans="1:12" ht="39.950000000000003" customHeight="1" x14ac:dyDescent="0.25">
      <c r="A33" s="6" t="s">
        <v>3589</v>
      </c>
      <c r="B33" s="7" t="s">
        <v>3590</v>
      </c>
      <c r="C33" s="8">
        <v>2</v>
      </c>
      <c r="D33" s="9">
        <v>59.98</v>
      </c>
      <c r="E33" s="8" t="s">
        <v>3591</v>
      </c>
      <c r="F33" s="7" t="s">
        <v>3496</v>
      </c>
      <c r="G33" s="10"/>
      <c r="H33" s="7" t="s">
        <v>3478</v>
      </c>
      <c r="I33" s="7" t="s">
        <v>3517</v>
      </c>
      <c r="J33" s="7" t="s">
        <v>3426</v>
      </c>
      <c r="K33" s="7" t="s">
        <v>3592</v>
      </c>
      <c r="L33" s="11" t="str">
        <f>HYPERLINK("http://slimages.macys.com/is/image/MCY/9700679 ")</f>
        <v xml:space="preserve">http://slimages.macys.com/is/image/MCY/9700679 </v>
      </c>
    </row>
    <row r="34" spans="1:12" ht="39.950000000000003" customHeight="1" x14ac:dyDescent="0.25">
      <c r="A34" s="6" t="s">
        <v>2989</v>
      </c>
      <c r="B34" s="7" t="s">
        <v>2990</v>
      </c>
      <c r="C34" s="8">
        <v>6</v>
      </c>
      <c r="D34" s="9">
        <v>149.94</v>
      </c>
      <c r="E34" s="8">
        <v>1006772400</v>
      </c>
      <c r="F34" s="7" t="s">
        <v>3463</v>
      </c>
      <c r="G34" s="10"/>
      <c r="H34" s="7" t="s">
        <v>2991</v>
      </c>
      <c r="I34" s="7" t="s">
        <v>3834</v>
      </c>
      <c r="J34" s="7" t="s">
        <v>3426</v>
      </c>
      <c r="K34" s="7" t="s">
        <v>3816</v>
      </c>
      <c r="L34" s="11" t="str">
        <f>HYPERLINK("http://slimages.macys.com/is/image/MCY/13469357 ")</f>
        <v xml:space="preserve">http://slimages.macys.com/is/image/MCY/13469357 </v>
      </c>
    </row>
    <row r="35" spans="1:12" ht="39.950000000000003" customHeight="1" x14ac:dyDescent="0.25">
      <c r="A35" s="6" t="s">
        <v>2992</v>
      </c>
      <c r="B35" s="7" t="s">
        <v>2993</v>
      </c>
      <c r="C35" s="8">
        <v>3</v>
      </c>
      <c r="D35" s="9">
        <v>74.97</v>
      </c>
      <c r="E35" s="8">
        <v>1006772300</v>
      </c>
      <c r="F35" s="7" t="s">
        <v>3463</v>
      </c>
      <c r="G35" s="10"/>
      <c r="H35" s="7" t="s">
        <v>2991</v>
      </c>
      <c r="I35" s="7" t="s">
        <v>3834</v>
      </c>
      <c r="J35" s="7" t="s">
        <v>3426</v>
      </c>
      <c r="K35" s="7" t="s">
        <v>3816</v>
      </c>
      <c r="L35" s="11" t="str">
        <f>HYPERLINK("http://slimages.macys.com/is/image/MCY/13469346 ")</f>
        <v xml:space="preserve">http://slimages.macys.com/is/image/MCY/13469346 </v>
      </c>
    </row>
    <row r="36" spans="1:12" ht="39.950000000000003" customHeight="1" x14ac:dyDescent="0.25">
      <c r="A36" s="6" t="s">
        <v>2994</v>
      </c>
      <c r="B36" s="7" t="s">
        <v>2995</v>
      </c>
      <c r="C36" s="8">
        <v>1</v>
      </c>
      <c r="D36" s="9">
        <v>17.989999999999998</v>
      </c>
      <c r="E36" s="8">
        <v>51747</v>
      </c>
      <c r="F36" s="7" t="s">
        <v>3720</v>
      </c>
      <c r="G36" s="10" t="s">
        <v>4383</v>
      </c>
      <c r="H36" s="7" t="s">
        <v>3490</v>
      </c>
      <c r="I36" s="7" t="s">
        <v>3649</v>
      </c>
      <c r="J36" s="7" t="s">
        <v>3426</v>
      </c>
      <c r="K36" s="7"/>
      <c r="L36" s="11" t="str">
        <f>HYPERLINK("http://slimages.macys.com/is/image/MCY/9057692 ")</f>
        <v xml:space="preserve">http://slimages.macys.com/is/image/MCY/9057692 </v>
      </c>
    </row>
    <row r="37" spans="1:12" ht="39.950000000000003" customHeight="1" x14ac:dyDescent="0.25">
      <c r="A37" s="6" t="s">
        <v>2996</v>
      </c>
      <c r="B37" s="7" t="s">
        <v>2997</v>
      </c>
      <c r="C37" s="8">
        <v>1</v>
      </c>
      <c r="D37" s="9">
        <v>17.989999999999998</v>
      </c>
      <c r="E37" s="8" t="s">
        <v>2998</v>
      </c>
      <c r="F37" s="7" t="s">
        <v>3445</v>
      </c>
      <c r="G37" s="10"/>
      <c r="H37" s="7" t="s">
        <v>3542</v>
      </c>
      <c r="I37" s="7" t="s">
        <v>3577</v>
      </c>
      <c r="J37" s="7" t="s">
        <v>3426</v>
      </c>
      <c r="K37" s="7" t="s">
        <v>2999</v>
      </c>
      <c r="L37" s="11" t="str">
        <f>HYPERLINK("http://slimages.macys.com/is/image/MCY/13743544 ")</f>
        <v xml:space="preserve">http://slimages.macys.com/is/image/MCY/13743544 </v>
      </c>
    </row>
    <row r="38" spans="1:12" ht="39.950000000000003" customHeight="1" x14ac:dyDescent="0.25">
      <c r="A38" s="6" t="s">
        <v>3000</v>
      </c>
      <c r="B38" s="7" t="s">
        <v>3001</v>
      </c>
      <c r="C38" s="8">
        <v>1</v>
      </c>
      <c r="D38" s="9">
        <v>19.989999999999998</v>
      </c>
      <c r="E38" s="8" t="s">
        <v>3002</v>
      </c>
      <c r="F38" s="7"/>
      <c r="G38" s="10" t="s">
        <v>3599</v>
      </c>
      <c r="H38" s="7" t="s">
        <v>3583</v>
      </c>
      <c r="I38" s="7" t="s">
        <v>3003</v>
      </c>
      <c r="J38" s="7" t="s">
        <v>3601</v>
      </c>
      <c r="K38" s="7" t="s">
        <v>4184</v>
      </c>
      <c r="L38" s="11" t="str">
        <f>HYPERLINK("http://slimages.macys.com/is/image/MCY/1304918 ")</f>
        <v xml:space="preserve">http://slimages.macys.com/is/image/MCY/1304918 </v>
      </c>
    </row>
    <row r="39" spans="1:12" ht="39.950000000000003" customHeight="1" x14ac:dyDescent="0.25">
      <c r="A39" s="6" t="s">
        <v>3004</v>
      </c>
      <c r="B39" s="7" t="s">
        <v>3005</v>
      </c>
      <c r="C39" s="8">
        <v>2</v>
      </c>
      <c r="D39" s="9">
        <v>79.98</v>
      </c>
      <c r="E39" s="8" t="s">
        <v>3006</v>
      </c>
      <c r="F39" s="7" t="s">
        <v>3463</v>
      </c>
      <c r="G39" s="10"/>
      <c r="H39" s="7" t="s">
        <v>3572</v>
      </c>
      <c r="I39" s="7" t="s">
        <v>3724</v>
      </c>
      <c r="J39" s="7" t="s">
        <v>3426</v>
      </c>
      <c r="K39" s="7" t="s">
        <v>3556</v>
      </c>
      <c r="L39" s="11" t="str">
        <f>HYPERLINK("http://slimages.macys.com/is/image/MCY/12873905 ")</f>
        <v xml:space="preserve">http://slimages.macys.com/is/image/MCY/12873905 </v>
      </c>
    </row>
    <row r="40" spans="1:12" ht="39.950000000000003" customHeight="1" x14ac:dyDescent="0.25">
      <c r="A40" s="6" t="s">
        <v>2717</v>
      </c>
      <c r="B40" s="7" t="s">
        <v>2718</v>
      </c>
      <c r="C40" s="8">
        <v>1</v>
      </c>
      <c r="D40" s="9">
        <v>29.99</v>
      </c>
      <c r="E40" s="8" t="s">
        <v>2719</v>
      </c>
      <c r="F40" s="7" t="s">
        <v>3463</v>
      </c>
      <c r="G40" s="10"/>
      <c r="H40" s="7" t="s">
        <v>3452</v>
      </c>
      <c r="I40" s="7" t="s">
        <v>3453</v>
      </c>
      <c r="J40" s="7" t="s">
        <v>3426</v>
      </c>
      <c r="K40" s="7"/>
      <c r="L40" s="11" t="str">
        <f>HYPERLINK("http://slimages.macys.com/is/image/MCY/15912153 ")</f>
        <v xml:space="preserve">http://slimages.macys.com/is/image/MCY/15912153 </v>
      </c>
    </row>
    <row r="41" spans="1:12" ht="39.950000000000003" customHeight="1" x14ac:dyDescent="0.25">
      <c r="A41" s="6" t="s">
        <v>3007</v>
      </c>
      <c r="B41" s="7" t="s">
        <v>3008</v>
      </c>
      <c r="C41" s="8">
        <v>1</v>
      </c>
      <c r="D41" s="9">
        <v>12.99</v>
      </c>
      <c r="E41" s="8">
        <v>24518</v>
      </c>
      <c r="F41" s="7" t="s">
        <v>3720</v>
      </c>
      <c r="G41" s="10"/>
      <c r="H41" s="7" t="s">
        <v>3490</v>
      </c>
      <c r="I41" s="7" t="s">
        <v>3649</v>
      </c>
      <c r="J41" s="7" t="s">
        <v>3426</v>
      </c>
      <c r="K41" s="7"/>
      <c r="L41" s="11" t="str">
        <f>HYPERLINK("http://slimages.macys.com/is/image/MCY/9056506 ")</f>
        <v xml:space="preserve">http://slimages.macys.com/is/image/MCY/9056506 </v>
      </c>
    </row>
    <row r="42" spans="1:12" ht="39.950000000000003" customHeight="1" x14ac:dyDescent="0.25">
      <c r="A42" s="6" t="s">
        <v>3009</v>
      </c>
      <c r="B42" s="7" t="s">
        <v>3010</v>
      </c>
      <c r="C42" s="8">
        <v>1</v>
      </c>
      <c r="D42" s="9">
        <v>19.989999999999998</v>
      </c>
      <c r="E42" s="8" t="s">
        <v>3011</v>
      </c>
      <c r="F42" s="7" t="s">
        <v>3477</v>
      </c>
      <c r="G42" s="10"/>
      <c r="H42" s="7" t="s">
        <v>3452</v>
      </c>
      <c r="I42" s="7" t="s">
        <v>3834</v>
      </c>
      <c r="J42" s="7" t="s">
        <v>3426</v>
      </c>
      <c r="K42" s="7" t="s">
        <v>3556</v>
      </c>
      <c r="L42" s="11" t="str">
        <f>HYPERLINK("http://slimages.macys.com/is/image/MCY/9940182 ")</f>
        <v xml:space="preserve">http://slimages.macys.com/is/image/MCY/9940182 </v>
      </c>
    </row>
    <row r="43" spans="1:12" ht="39.950000000000003" customHeight="1" x14ac:dyDescent="0.25">
      <c r="A43" s="6" t="s">
        <v>3012</v>
      </c>
      <c r="B43" s="7" t="s">
        <v>3013</v>
      </c>
      <c r="C43" s="8">
        <v>1</v>
      </c>
      <c r="D43" s="9">
        <v>16.989999999999998</v>
      </c>
      <c r="E43" s="8" t="s">
        <v>3014</v>
      </c>
      <c r="F43" s="7" t="s">
        <v>3720</v>
      </c>
      <c r="G43" s="10"/>
      <c r="H43" s="7" t="s">
        <v>3490</v>
      </c>
      <c r="I43" s="7" t="s">
        <v>2695</v>
      </c>
      <c r="J43" s="7" t="s">
        <v>3426</v>
      </c>
      <c r="K43" s="7" t="s">
        <v>2696</v>
      </c>
      <c r="L43" s="11" t="str">
        <f>HYPERLINK("http://slimages.macys.com/is/image/MCY/11461598 ")</f>
        <v xml:space="preserve">http://slimages.macys.com/is/image/MCY/11461598 </v>
      </c>
    </row>
    <row r="44" spans="1:12" ht="39.950000000000003" customHeight="1" x14ac:dyDescent="0.25">
      <c r="A44" s="6" t="s">
        <v>3015</v>
      </c>
      <c r="B44" s="7" t="s">
        <v>3016</v>
      </c>
      <c r="C44" s="8">
        <v>1</v>
      </c>
      <c r="D44" s="9">
        <v>14.99</v>
      </c>
      <c r="E44" s="8" t="s">
        <v>3017</v>
      </c>
      <c r="F44" s="7"/>
      <c r="G44" s="10"/>
      <c r="H44" s="7" t="s">
        <v>3478</v>
      </c>
      <c r="I44" s="7" t="s">
        <v>2572</v>
      </c>
      <c r="J44" s="7" t="s">
        <v>3426</v>
      </c>
      <c r="K44" s="7" t="s">
        <v>3018</v>
      </c>
      <c r="L44" s="11" t="str">
        <f>HYPERLINK("http://slimages.macys.com/is/image/MCY/16140168 ")</f>
        <v xml:space="preserve">http://slimages.macys.com/is/image/MCY/16140168 </v>
      </c>
    </row>
    <row r="45" spans="1:12" ht="39.950000000000003" customHeight="1" x14ac:dyDescent="0.25">
      <c r="A45" s="6" t="s">
        <v>3019</v>
      </c>
      <c r="B45" s="7" t="s">
        <v>3020</v>
      </c>
      <c r="C45" s="8">
        <v>2</v>
      </c>
      <c r="D45" s="9">
        <v>29.98</v>
      </c>
      <c r="E45" s="8" t="s">
        <v>3021</v>
      </c>
      <c r="F45" s="7"/>
      <c r="G45" s="10"/>
      <c r="H45" s="7" t="s">
        <v>3478</v>
      </c>
      <c r="I45" s="7" t="s">
        <v>2572</v>
      </c>
      <c r="J45" s="7" t="s">
        <v>3426</v>
      </c>
      <c r="K45" s="7" t="s">
        <v>3018</v>
      </c>
      <c r="L45" s="11" t="str">
        <f>HYPERLINK("http://slimages.macys.com/is/image/MCY/16140166 ")</f>
        <v xml:space="preserve">http://slimages.macys.com/is/image/MCY/16140166 </v>
      </c>
    </row>
    <row r="46" spans="1:12" ht="39.950000000000003" customHeight="1" x14ac:dyDescent="0.25">
      <c r="A46" s="6" t="s">
        <v>3022</v>
      </c>
      <c r="B46" s="7" t="s">
        <v>3023</v>
      </c>
      <c r="C46" s="8">
        <v>1</v>
      </c>
      <c r="D46" s="9">
        <v>9.99</v>
      </c>
      <c r="E46" s="8" t="s">
        <v>3024</v>
      </c>
      <c r="F46" s="7" t="s">
        <v>3445</v>
      </c>
      <c r="G46" s="10"/>
      <c r="H46" s="7" t="s">
        <v>3525</v>
      </c>
      <c r="I46" s="7" t="s">
        <v>3025</v>
      </c>
      <c r="J46" s="7" t="s">
        <v>3426</v>
      </c>
      <c r="K46" s="7"/>
      <c r="L46" s="11" t="str">
        <f>HYPERLINK("http://slimages.macys.com/is/image/MCY/9406522 ")</f>
        <v xml:space="preserve">http://slimages.macys.com/is/image/MCY/9406522 </v>
      </c>
    </row>
    <row r="47" spans="1:12" ht="39.950000000000003" customHeight="1" x14ac:dyDescent="0.25">
      <c r="A47" s="6" t="s">
        <v>3026</v>
      </c>
      <c r="B47" s="7" t="s">
        <v>3027</v>
      </c>
      <c r="C47" s="8">
        <v>1</v>
      </c>
      <c r="D47" s="9">
        <v>319.99</v>
      </c>
      <c r="E47" s="8" t="s">
        <v>3028</v>
      </c>
      <c r="F47" s="7" t="s">
        <v>3445</v>
      </c>
      <c r="G47" s="10"/>
      <c r="H47" s="7" t="s">
        <v>3432</v>
      </c>
      <c r="I47" s="7" t="s">
        <v>3029</v>
      </c>
      <c r="J47" s="7"/>
      <c r="K47" s="7"/>
      <c r="L47" s="11"/>
    </row>
    <row r="48" spans="1:12" ht="39.950000000000003" customHeight="1" x14ac:dyDescent="0.25">
      <c r="A48" s="6" t="s">
        <v>3667</v>
      </c>
      <c r="B48" s="7" t="s">
        <v>3668</v>
      </c>
      <c r="C48" s="8">
        <v>11</v>
      </c>
      <c r="D48" s="9">
        <v>440</v>
      </c>
      <c r="E48" s="8"/>
      <c r="F48" s="7" t="s">
        <v>3610</v>
      </c>
      <c r="G48" s="10" t="s">
        <v>3489</v>
      </c>
      <c r="H48" s="7" t="s">
        <v>3669</v>
      </c>
      <c r="I48" s="7" t="s">
        <v>3670</v>
      </c>
      <c r="J48" s="7"/>
      <c r="K48" s="7"/>
      <c r="L48" s="11"/>
    </row>
    <row r="49" spans="1:12" ht="39.950000000000003" customHeight="1" x14ac:dyDescent="0.25">
      <c r="A49" s="6" t="s">
        <v>3030</v>
      </c>
      <c r="B49" s="7" t="s">
        <v>3031</v>
      </c>
      <c r="C49" s="8">
        <v>1</v>
      </c>
      <c r="D49" s="9">
        <v>55.99</v>
      </c>
      <c r="E49" s="8" t="s">
        <v>3032</v>
      </c>
      <c r="F49" s="7" t="s">
        <v>3535</v>
      </c>
      <c r="G49" s="10"/>
      <c r="H49" s="7" t="s">
        <v>3635</v>
      </c>
      <c r="I49" s="7" t="s">
        <v>4296</v>
      </c>
      <c r="J49" s="7"/>
      <c r="K49" s="7"/>
      <c r="L49" s="11"/>
    </row>
    <row r="50" spans="1:12" ht="39.950000000000003" customHeight="1" x14ac:dyDescent="0.25">
      <c r="A50" s="6" t="s">
        <v>3033</v>
      </c>
      <c r="B50" s="7" t="s">
        <v>3034</v>
      </c>
      <c r="C50" s="8">
        <v>1</v>
      </c>
      <c r="D50" s="9">
        <v>49.99</v>
      </c>
      <c r="E50" s="8" t="s">
        <v>3035</v>
      </c>
      <c r="F50" s="7" t="s">
        <v>3674</v>
      </c>
      <c r="G50" s="10"/>
      <c r="H50" s="7" t="s">
        <v>3542</v>
      </c>
      <c r="I50" s="7" t="s">
        <v>4234</v>
      </c>
      <c r="J50" s="7"/>
      <c r="K50" s="7"/>
      <c r="L50" s="11"/>
    </row>
    <row r="51" spans="1:12" ht="39.950000000000003" customHeight="1" x14ac:dyDescent="0.25">
      <c r="A51" s="6" t="s">
        <v>3036</v>
      </c>
      <c r="B51" s="7" t="s">
        <v>3037</v>
      </c>
      <c r="C51" s="8">
        <v>1</v>
      </c>
      <c r="D51" s="9">
        <v>34.99</v>
      </c>
      <c r="E51" s="8" t="s">
        <v>3038</v>
      </c>
      <c r="F51" s="7" t="s">
        <v>3463</v>
      </c>
      <c r="G51" s="10" t="s">
        <v>3641</v>
      </c>
      <c r="H51" s="7" t="s">
        <v>3432</v>
      </c>
      <c r="I51" s="7" t="s">
        <v>3039</v>
      </c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3040</v>
      </c>
      <c r="B2" s="7" t="s">
        <v>3041</v>
      </c>
      <c r="C2" s="8">
        <v>1</v>
      </c>
      <c r="D2" s="9">
        <v>320</v>
      </c>
      <c r="E2" s="8" t="s">
        <v>3042</v>
      </c>
      <c r="F2" s="7" t="s">
        <v>3804</v>
      </c>
      <c r="G2" s="10"/>
      <c r="H2" s="7" t="s">
        <v>3513</v>
      </c>
      <c r="I2" s="7" t="s">
        <v>3043</v>
      </c>
      <c r="J2" s="7" t="s">
        <v>3044</v>
      </c>
      <c r="K2" s="7" t="s">
        <v>3045</v>
      </c>
      <c r="L2" s="11" t="str">
        <f>HYPERLINK("http://images.bloomingdales.com/is/image/BLM/9681139 ")</f>
        <v xml:space="preserve">http://images.bloomingdales.com/is/image/BLM/9681139 </v>
      </c>
    </row>
    <row r="3" spans="1:12" ht="39.950000000000003" customHeight="1" x14ac:dyDescent="0.25">
      <c r="A3" s="6" t="s">
        <v>3046</v>
      </c>
      <c r="B3" s="7" t="s">
        <v>3047</v>
      </c>
      <c r="C3" s="8">
        <v>1</v>
      </c>
      <c r="D3" s="9">
        <v>299.99</v>
      </c>
      <c r="E3" s="8" t="s">
        <v>3048</v>
      </c>
      <c r="F3" s="7" t="s">
        <v>3438</v>
      </c>
      <c r="G3" s="10"/>
      <c r="H3" s="7" t="s">
        <v>3688</v>
      </c>
      <c r="I3" s="7" t="s">
        <v>3871</v>
      </c>
      <c r="J3" s="7" t="s">
        <v>3426</v>
      </c>
      <c r="K3" s="7" t="s">
        <v>3518</v>
      </c>
      <c r="L3" s="11" t="str">
        <f>HYPERLINK("http://slimages.macys.com/is/image/MCY/3391862 ")</f>
        <v xml:space="preserve">http://slimages.macys.com/is/image/MCY/3391862 </v>
      </c>
    </row>
    <row r="4" spans="1:12" ht="39.950000000000003" customHeight="1" x14ac:dyDescent="0.25">
      <c r="A4" s="6" t="s">
        <v>3049</v>
      </c>
      <c r="B4" s="7" t="s">
        <v>3050</v>
      </c>
      <c r="C4" s="8">
        <v>1</v>
      </c>
      <c r="D4" s="9">
        <v>78.11</v>
      </c>
      <c r="E4" s="8" t="s">
        <v>3051</v>
      </c>
      <c r="F4" s="7"/>
      <c r="G4" s="10"/>
      <c r="H4" s="7" t="s">
        <v>3478</v>
      </c>
      <c r="I4" s="7" t="s">
        <v>4326</v>
      </c>
      <c r="J4" s="7" t="s">
        <v>4367</v>
      </c>
      <c r="K4" s="7" t="s">
        <v>3492</v>
      </c>
      <c r="L4" s="11" t="str">
        <f>HYPERLINK("http://images.bloomingdales.com/is/image/BLM/10251208 ")</f>
        <v xml:space="preserve">http://images.bloomingdales.com/is/image/BLM/10251208 </v>
      </c>
    </row>
    <row r="5" spans="1:12" ht="39.950000000000003" customHeight="1" x14ac:dyDescent="0.25">
      <c r="A5" s="6" t="s">
        <v>3052</v>
      </c>
      <c r="B5" s="7" t="s">
        <v>3053</v>
      </c>
      <c r="C5" s="8">
        <v>1</v>
      </c>
      <c r="D5" s="9">
        <v>279.99</v>
      </c>
      <c r="E5" s="8">
        <v>226154</v>
      </c>
      <c r="F5" s="7" t="s">
        <v>3445</v>
      </c>
      <c r="G5" s="10"/>
      <c r="H5" s="7" t="s">
        <v>3424</v>
      </c>
      <c r="I5" s="7" t="s">
        <v>3054</v>
      </c>
      <c r="J5" s="7" t="s">
        <v>3426</v>
      </c>
      <c r="K5" s="7" t="s">
        <v>3492</v>
      </c>
      <c r="L5" s="11" t="str">
        <f>HYPERLINK("http://slimages.macys.com/is/image/MCY/12054427 ")</f>
        <v xml:space="preserve">http://slimages.macys.com/is/image/MCY/12054427 </v>
      </c>
    </row>
    <row r="6" spans="1:12" ht="39.950000000000003" customHeight="1" x14ac:dyDescent="0.25">
      <c r="A6" s="6" t="s">
        <v>3055</v>
      </c>
      <c r="B6" s="7" t="s">
        <v>3056</v>
      </c>
      <c r="C6" s="8">
        <v>1</v>
      </c>
      <c r="D6" s="9">
        <v>299.99</v>
      </c>
      <c r="E6" s="8" t="s">
        <v>3057</v>
      </c>
      <c r="F6" s="7" t="s">
        <v>4167</v>
      </c>
      <c r="G6" s="10" t="s">
        <v>3439</v>
      </c>
      <c r="H6" s="7" t="s">
        <v>3440</v>
      </c>
      <c r="I6" s="7" t="s">
        <v>3441</v>
      </c>
      <c r="J6" s="7"/>
      <c r="K6" s="7"/>
      <c r="L6" s="11" t="str">
        <f>HYPERLINK("http://slimages.macys.com/is/image/MCY/17629401 ")</f>
        <v xml:space="preserve">http://slimages.macys.com/is/image/MCY/17629401 </v>
      </c>
    </row>
    <row r="7" spans="1:12" ht="39.950000000000003" customHeight="1" x14ac:dyDescent="0.25">
      <c r="A7" s="6" t="s">
        <v>3058</v>
      </c>
      <c r="B7" s="7" t="s">
        <v>3059</v>
      </c>
      <c r="C7" s="8">
        <v>1</v>
      </c>
      <c r="D7" s="9">
        <v>209.99</v>
      </c>
      <c r="E7" s="8" t="s">
        <v>3060</v>
      </c>
      <c r="F7" s="7" t="s">
        <v>3445</v>
      </c>
      <c r="G7" s="10"/>
      <c r="H7" s="7" t="s">
        <v>3559</v>
      </c>
      <c r="I7" s="7" t="s">
        <v>3777</v>
      </c>
      <c r="J7" s="7"/>
      <c r="K7" s="7"/>
      <c r="L7" s="11" t="str">
        <f>HYPERLINK("http://slimages.macys.com/is/image/MCY/17546193 ")</f>
        <v xml:space="preserve">http://slimages.macys.com/is/image/MCY/17546193 </v>
      </c>
    </row>
    <row r="8" spans="1:12" ht="39.950000000000003" customHeight="1" x14ac:dyDescent="0.25">
      <c r="A8" s="6" t="s">
        <v>3876</v>
      </c>
      <c r="B8" s="7" t="s">
        <v>3877</v>
      </c>
      <c r="C8" s="8">
        <v>1</v>
      </c>
      <c r="D8" s="9">
        <v>274.99</v>
      </c>
      <c r="E8" s="8" t="s">
        <v>3878</v>
      </c>
      <c r="F8" s="7" t="s">
        <v>3445</v>
      </c>
      <c r="G8" s="10"/>
      <c r="H8" s="7" t="s">
        <v>3676</v>
      </c>
      <c r="I8" s="7" t="s">
        <v>3548</v>
      </c>
      <c r="J8" s="7" t="s">
        <v>3564</v>
      </c>
      <c r="K8" s="7" t="s">
        <v>3879</v>
      </c>
      <c r="L8" s="11" t="str">
        <f>HYPERLINK("http://slimages.macys.com/is/image/MCY/3974561 ")</f>
        <v xml:space="preserve">http://slimages.macys.com/is/image/MCY/3974561 </v>
      </c>
    </row>
    <row r="9" spans="1:12" ht="39.950000000000003" customHeight="1" x14ac:dyDescent="0.25">
      <c r="A9" s="6" t="s">
        <v>3435</v>
      </c>
      <c r="B9" s="7" t="s">
        <v>3436</v>
      </c>
      <c r="C9" s="8">
        <v>1</v>
      </c>
      <c r="D9" s="9">
        <v>249.99</v>
      </c>
      <c r="E9" s="8" t="s">
        <v>3437</v>
      </c>
      <c r="F9" s="7" t="s">
        <v>3438</v>
      </c>
      <c r="G9" s="10" t="s">
        <v>3439</v>
      </c>
      <c r="H9" s="7" t="s">
        <v>3440</v>
      </c>
      <c r="I9" s="7" t="s">
        <v>3441</v>
      </c>
      <c r="J9" s="7"/>
      <c r="K9" s="7"/>
      <c r="L9" s="11" t="str">
        <f>HYPERLINK("http://slimages.macys.com/is/image/MCY/17106627 ")</f>
        <v xml:space="preserve">http://slimages.macys.com/is/image/MCY/17106627 </v>
      </c>
    </row>
    <row r="10" spans="1:12" ht="39.950000000000003" customHeight="1" x14ac:dyDescent="0.25">
      <c r="A10" s="6" t="s">
        <v>3061</v>
      </c>
      <c r="B10" s="7" t="s">
        <v>3062</v>
      </c>
      <c r="C10" s="8">
        <v>1</v>
      </c>
      <c r="D10" s="9">
        <v>179.99</v>
      </c>
      <c r="E10" s="8">
        <v>81387</v>
      </c>
      <c r="F10" s="7" t="s">
        <v>3535</v>
      </c>
      <c r="G10" s="10"/>
      <c r="H10" s="7" t="s">
        <v>3478</v>
      </c>
      <c r="I10" s="7" t="s">
        <v>3479</v>
      </c>
      <c r="J10" s="7" t="s">
        <v>3426</v>
      </c>
      <c r="K10" s="7" t="s">
        <v>3063</v>
      </c>
      <c r="L10" s="11" t="str">
        <f>HYPERLINK("http://slimages.macys.com/is/image/MCY/14791806 ")</f>
        <v xml:space="preserve">http://slimages.macys.com/is/image/MCY/14791806 </v>
      </c>
    </row>
    <row r="11" spans="1:12" ht="39.950000000000003" customHeight="1" x14ac:dyDescent="0.25">
      <c r="A11" s="6" t="s">
        <v>3886</v>
      </c>
      <c r="B11" s="7" t="s">
        <v>3887</v>
      </c>
      <c r="C11" s="8">
        <v>1</v>
      </c>
      <c r="D11" s="9">
        <v>179.99</v>
      </c>
      <c r="E11" s="8">
        <v>82205</v>
      </c>
      <c r="F11" s="7" t="s">
        <v>3477</v>
      </c>
      <c r="G11" s="10"/>
      <c r="H11" s="7" t="s">
        <v>3478</v>
      </c>
      <c r="I11" s="7" t="s">
        <v>3479</v>
      </c>
      <c r="J11" s="7" t="s">
        <v>3426</v>
      </c>
      <c r="K11" s="7" t="s">
        <v>3888</v>
      </c>
      <c r="L11" s="11" t="str">
        <f>HYPERLINK("http://slimages.macys.com/is/image/MCY/16578696 ")</f>
        <v xml:space="preserve">http://slimages.macys.com/is/image/MCY/16578696 </v>
      </c>
    </row>
    <row r="12" spans="1:12" ht="39.950000000000003" customHeight="1" x14ac:dyDescent="0.25">
      <c r="A12" s="6" t="s">
        <v>3064</v>
      </c>
      <c r="B12" s="7" t="s">
        <v>3065</v>
      </c>
      <c r="C12" s="8">
        <v>1</v>
      </c>
      <c r="D12" s="9">
        <v>129.99</v>
      </c>
      <c r="E12" s="8" t="s">
        <v>3066</v>
      </c>
      <c r="F12" s="7" t="s">
        <v>4047</v>
      </c>
      <c r="G12" s="10"/>
      <c r="H12" s="7" t="s">
        <v>3424</v>
      </c>
      <c r="I12" s="7" t="s">
        <v>3067</v>
      </c>
      <c r="J12" s="7"/>
      <c r="K12" s="7"/>
      <c r="L12" s="11" t="str">
        <f>HYPERLINK("http://slimages.macys.com/is/image/MCY/17293527 ")</f>
        <v xml:space="preserve">http://slimages.macys.com/is/image/MCY/17293527 </v>
      </c>
    </row>
    <row r="13" spans="1:12" ht="39.950000000000003" customHeight="1" x14ac:dyDescent="0.25">
      <c r="A13" s="6" t="s">
        <v>3068</v>
      </c>
      <c r="B13" s="7" t="s">
        <v>3069</v>
      </c>
      <c r="C13" s="8">
        <v>1</v>
      </c>
      <c r="D13" s="9">
        <v>134.99</v>
      </c>
      <c r="E13" s="8" t="s">
        <v>3070</v>
      </c>
      <c r="F13" s="7" t="s">
        <v>3463</v>
      </c>
      <c r="G13" s="10"/>
      <c r="H13" s="7" t="s">
        <v>3478</v>
      </c>
      <c r="I13" s="7" t="s">
        <v>3553</v>
      </c>
      <c r="J13" s="7" t="s">
        <v>3426</v>
      </c>
      <c r="K13" s="7"/>
      <c r="L13" s="11" t="str">
        <f>HYPERLINK("http://slimages.macys.com/is/image/MCY/8930125 ")</f>
        <v xml:space="preserve">http://slimages.macys.com/is/image/MCY/8930125 </v>
      </c>
    </row>
    <row r="14" spans="1:12" ht="39.950000000000003" customHeight="1" x14ac:dyDescent="0.25">
      <c r="A14" s="6" t="s">
        <v>3071</v>
      </c>
      <c r="B14" s="7" t="s">
        <v>3072</v>
      </c>
      <c r="C14" s="8">
        <v>1</v>
      </c>
      <c r="D14" s="9">
        <v>109.99</v>
      </c>
      <c r="E14" s="8" t="s">
        <v>3073</v>
      </c>
      <c r="F14" s="7" t="s">
        <v>3463</v>
      </c>
      <c r="G14" s="10"/>
      <c r="H14" s="7" t="s">
        <v>3478</v>
      </c>
      <c r="I14" s="7" t="s">
        <v>3553</v>
      </c>
      <c r="J14" s="7" t="s">
        <v>3426</v>
      </c>
      <c r="K14" s="7" t="s">
        <v>3518</v>
      </c>
      <c r="L14" s="11" t="str">
        <f>HYPERLINK("http://slimages.macys.com/is/image/MCY/16650708 ")</f>
        <v xml:space="preserve">http://slimages.macys.com/is/image/MCY/16650708 </v>
      </c>
    </row>
    <row r="15" spans="1:12" ht="39.950000000000003" customHeight="1" x14ac:dyDescent="0.25">
      <c r="A15" s="6" t="s">
        <v>3074</v>
      </c>
      <c r="B15" s="7" t="s">
        <v>3075</v>
      </c>
      <c r="C15" s="8">
        <v>1</v>
      </c>
      <c r="D15" s="9">
        <v>109.99</v>
      </c>
      <c r="E15" s="8" t="s">
        <v>3076</v>
      </c>
      <c r="F15" s="7" t="s">
        <v>3477</v>
      </c>
      <c r="G15" s="10"/>
      <c r="H15" s="7" t="s">
        <v>3467</v>
      </c>
      <c r="I15" s="7" t="s">
        <v>3077</v>
      </c>
      <c r="J15" s="7" t="s">
        <v>2633</v>
      </c>
      <c r="K15" s="7" t="s">
        <v>3078</v>
      </c>
      <c r="L15" s="11" t="str">
        <f>HYPERLINK("http://images.bloomingdales.com/is/image/BLM/10498701 ")</f>
        <v xml:space="preserve">http://images.bloomingdales.com/is/image/BLM/10498701 </v>
      </c>
    </row>
    <row r="16" spans="1:12" ht="39.950000000000003" customHeight="1" x14ac:dyDescent="0.25">
      <c r="A16" s="6" t="s">
        <v>3079</v>
      </c>
      <c r="B16" s="7" t="s">
        <v>3080</v>
      </c>
      <c r="C16" s="8">
        <v>1</v>
      </c>
      <c r="D16" s="9">
        <v>159.99</v>
      </c>
      <c r="E16" s="8" t="s">
        <v>3081</v>
      </c>
      <c r="F16" s="7" t="s">
        <v>3484</v>
      </c>
      <c r="G16" s="10" t="s">
        <v>3082</v>
      </c>
      <c r="H16" s="7" t="s">
        <v>3440</v>
      </c>
      <c r="I16" s="7" t="s">
        <v>3083</v>
      </c>
      <c r="J16" s="7" t="s">
        <v>2633</v>
      </c>
      <c r="K16" s="7" t="s">
        <v>3084</v>
      </c>
      <c r="L16" s="11" t="str">
        <f>HYPERLINK("http://images.bloomingdales.com/is/image/BLM/10788475 ")</f>
        <v xml:space="preserve">http://images.bloomingdales.com/is/image/BLM/10788475 </v>
      </c>
    </row>
    <row r="17" spans="1:12" ht="39.950000000000003" customHeight="1" x14ac:dyDescent="0.25">
      <c r="A17" s="6" t="s">
        <v>3085</v>
      </c>
      <c r="B17" s="7" t="s">
        <v>3086</v>
      </c>
      <c r="C17" s="8">
        <v>1</v>
      </c>
      <c r="D17" s="9">
        <v>79.989999999999995</v>
      </c>
      <c r="E17" s="8">
        <v>70082</v>
      </c>
      <c r="F17" s="7" t="s">
        <v>3445</v>
      </c>
      <c r="G17" s="10" t="s">
        <v>3547</v>
      </c>
      <c r="H17" s="7" t="s">
        <v>3559</v>
      </c>
      <c r="I17" s="7" t="s">
        <v>3560</v>
      </c>
      <c r="J17" s="7" t="s">
        <v>3426</v>
      </c>
      <c r="K17" s="7" t="s">
        <v>3561</v>
      </c>
      <c r="L17" s="11" t="str">
        <f>HYPERLINK("http://slimages.macys.com/is/image/MCY/11443716 ")</f>
        <v xml:space="preserve">http://slimages.macys.com/is/image/MCY/11443716 </v>
      </c>
    </row>
    <row r="18" spans="1:12" ht="39.950000000000003" customHeight="1" x14ac:dyDescent="0.25">
      <c r="A18" s="6" t="s">
        <v>3087</v>
      </c>
      <c r="B18" s="7" t="s">
        <v>3088</v>
      </c>
      <c r="C18" s="8">
        <v>1</v>
      </c>
      <c r="D18" s="9">
        <v>70.989999999999995</v>
      </c>
      <c r="E18" s="8" t="s">
        <v>3089</v>
      </c>
      <c r="F18" s="7" t="s">
        <v>3535</v>
      </c>
      <c r="G18" s="10"/>
      <c r="H18" s="7" t="s">
        <v>3635</v>
      </c>
      <c r="I18" s="7" t="s">
        <v>4296</v>
      </c>
      <c r="J18" s="7" t="s">
        <v>3426</v>
      </c>
      <c r="K18" s="7" t="s">
        <v>3556</v>
      </c>
      <c r="L18" s="11" t="str">
        <f>HYPERLINK("http://slimages.macys.com/is/image/MCY/15928495 ")</f>
        <v xml:space="preserve">http://slimages.macys.com/is/image/MCY/15928495 </v>
      </c>
    </row>
    <row r="19" spans="1:12" ht="39.950000000000003" customHeight="1" x14ac:dyDescent="0.25">
      <c r="A19" s="6" t="s">
        <v>3090</v>
      </c>
      <c r="B19" s="7" t="s">
        <v>3091</v>
      </c>
      <c r="C19" s="8">
        <v>1</v>
      </c>
      <c r="D19" s="9">
        <v>89.99</v>
      </c>
      <c r="E19" s="8" t="s">
        <v>3092</v>
      </c>
      <c r="F19" s="7" t="s">
        <v>3511</v>
      </c>
      <c r="G19" s="10"/>
      <c r="H19" s="7" t="s">
        <v>3467</v>
      </c>
      <c r="I19" s="7" t="s">
        <v>3468</v>
      </c>
      <c r="J19" s="7" t="s">
        <v>3426</v>
      </c>
      <c r="K19" s="7"/>
      <c r="L19" s="11" t="str">
        <f>HYPERLINK("http://slimages.macys.com/is/image/MCY/8336661 ")</f>
        <v xml:space="preserve">http://slimages.macys.com/is/image/MCY/8336661 </v>
      </c>
    </row>
    <row r="20" spans="1:12" ht="39.950000000000003" customHeight="1" x14ac:dyDescent="0.25">
      <c r="A20" s="6" t="s">
        <v>3093</v>
      </c>
      <c r="B20" s="7" t="s">
        <v>3094</v>
      </c>
      <c r="C20" s="8">
        <v>1</v>
      </c>
      <c r="D20" s="9">
        <v>73.989999999999995</v>
      </c>
      <c r="E20" s="8" t="s">
        <v>3095</v>
      </c>
      <c r="F20" s="7" t="s">
        <v>3511</v>
      </c>
      <c r="G20" s="10"/>
      <c r="H20" s="7" t="s">
        <v>3478</v>
      </c>
      <c r="I20" s="7" t="s">
        <v>2969</v>
      </c>
      <c r="J20" s="7" t="s">
        <v>3426</v>
      </c>
      <c r="K20" s="7" t="s">
        <v>3096</v>
      </c>
      <c r="L20" s="11" t="str">
        <f>HYPERLINK("http://slimages.macys.com/is/image/MCY/14540135 ")</f>
        <v xml:space="preserve">http://slimages.macys.com/is/image/MCY/14540135 </v>
      </c>
    </row>
    <row r="21" spans="1:12" ht="39.950000000000003" customHeight="1" x14ac:dyDescent="0.25">
      <c r="A21" s="6" t="s">
        <v>3097</v>
      </c>
      <c r="B21" s="7" t="s">
        <v>3098</v>
      </c>
      <c r="C21" s="8">
        <v>1</v>
      </c>
      <c r="D21" s="9">
        <v>73.989999999999995</v>
      </c>
      <c r="E21" s="8" t="s">
        <v>3099</v>
      </c>
      <c r="F21" s="7" t="s">
        <v>3431</v>
      </c>
      <c r="G21" s="10"/>
      <c r="H21" s="7" t="s">
        <v>3432</v>
      </c>
      <c r="I21" s="7" t="s">
        <v>3553</v>
      </c>
      <c r="J21" s="7" t="s">
        <v>3426</v>
      </c>
      <c r="K21" s="7" t="s">
        <v>3100</v>
      </c>
      <c r="L21" s="11" t="str">
        <f>HYPERLINK("http://slimages.macys.com/is/image/MCY/10138837 ")</f>
        <v xml:space="preserve">http://slimages.macys.com/is/image/MCY/10138837 </v>
      </c>
    </row>
    <row r="22" spans="1:12" ht="39.950000000000003" customHeight="1" x14ac:dyDescent="0.25">
      <c r="A22" s="6" t="s">
        <v>3101</v>
      </c>
      <c r="B22" s="7" t="s">
        <v>3102</v>
      </c>
      <c r="C22" s="8">
        <v>1</v>
      </c>
      <c r="D22" s="9">
        <v>69.989999999999995</v>
      </c>
      <c r="E22" s="8" t="s">
        <v>3103</v>
      </c>
      <c r="F22" s="7" t="s">
        <v>4167</v>
      </c>
      <c r="G22" s="10" t="s">
        <v>3547</v>
      </c>
      <c r="H22" s="7" t="s">
        <v>3559</v>
      </c>
      <c r="I22" s="7" t="s">
        <v>2575</v>
      </c>
      <c r="J22" s="7"/>
      <c r="K22" s="7"/>
      <c r="L22" s="11" t="str">
        <f>HYPERLINK("http://slimages.macys.com/is/image/MCY/16911771 ")</f>
        <v xml:space="preserve">http://slimages.macys.com/is/image/MCY/16911771 </v>
      </c>
    </row>
    <row r="23" spans="1:12" ht="39.950000000000003" customHeight="1" x14ac:dyDescent="0.25">
      <c r="A23" s="6" t="s">
        <v>3104</v>
      </c>
      <c r="B23" s="7" t="s">
        <v>3105</v>
      </c>
      <c r="C23" s="8">
        <v>1</v>
      </c>
      <c r="D23" s="9">
        <v>49.99</v>
      </c>
      <c r="E23" s="8" t="s">
        <v>3106</v>
      </c>
      <c r="F23" s="7"/>
      <c r="G23" s="10" t="s">
        <v>3942</v>
      </c>
      <c r="H23" s="7" t="s">
        <v>3635</v>
      </c>
      <c r="I23" s="7" t="s">
        <v>3517</v>
      </c>
      <c r="J23" s="7" t="s">
        <v>3426</v>
      </c>
      <c r="K23" s="7" t="s">
        <v>3835</v>
      </c>
      <c r="L23" s="11" t="str">
        <f>HYPERLINK("http://slimages.macys.com/is/image/MCY/15189025 ")</f>
        <v xml:space="preserve">http://slimages.macys.com/is/image/MCY/15189025 </v>
      </c>
    </row>
    <row r="24" spans="1:12" ht="39.950000000000003" customHeight="1" x14ac:dyDescent="0.25">
      <c r="A24" s="6" t="s">
        <v>3107</v>
      </c>
      <c r="B24" s="7" t="s">
        <v>3108</v>
      </c>
      <c r="C24" s="8">
        <v>1</v>
      </c>
      <c r="D24" s="9">
        <v>69.989999999999995</v>
      </c>
      <c r="E24" s="8" t="s">
        <v>3109</v>
      </c>
      <c r="F24" s="7" t="s">
        <v>3535</v>
      </c>
      <c r="G24" s="10"/>
      <c r="H24" s="7" t="s">
        <v>3458</v>
      </c>
      <c r="I24" s="7" t="s">
        <v>3110</v>
      </c>
      <c r="J24" s="7"/>
      <c r="K24" s="7"/>
      <c r="L24" s="11" t="str">
        <f>HYPERLINK("http://slimages.macys.com/is/image/MCY/17912694 ")</f>
        <v xml:space="preserve">http://slimages.macys.com/is/image/MCY/17912694 </v>
      </c>
    </row>
    <row r="25" spans="1:12" ht="39.950000000000003" customHeight="1" x14ac:dyDescent="0.25">
      <c r="A25" s="6" t="s">
        <v>3111</v>
      </c>
      <c r="B25" s="7" t="s">
        <v>3112</v>
      </c>
      <c r="C25" s="8">
        <v>1</v>
      </c>
      <c r="D25" s="9">
        <v>69.989999999999995</v>
      </c>
      <c r="E25" s="8" t="s">
        <v>3113</v>
      </c>
      <c r="F25" s="7" t="s">
        <v>3445</v>
      </c>
      <c r="G25" s="10"/>
      <c r="H25" s="7" t="s">
        <v>3432</v>
      </c>
      <c r="I25" s="7" t="s">
        <v>3622</v>
      </c>
      <c r="J25" s="7" t="s">
        <v>3426</v>
      </c>
      <c r="K25" s="7"/>
      <c r="L25" s="11" t="str">
        <f>HYPERLINK("http://slimages.macys.com/is/image/MCY/10249494 ")</f>
        <v xml:space="preserve">http://slimages.macys.com/is/image/MCY/10249494 </v>
      </c>
    </row>
    <row r="26" spans="1:12" ht="39.950000000000003" customHeight="1" x14ac:dyDescent="0.25">
      <c r="A26" s="6" t="s">
        <v>3752</v>
      </c>
      <c r="B26" s="7" t="s">
        <v>3753</v>
      </c>
      <c r="C26" s="8">
        <v>1</v>
      </c>
      <c r="D26" s="9">
        <v>32.99</v>
      </c>
      <c r="E26" s="8" t="s">
        <v>3754</v>
      </c>
      <c r="F26" s="7" t="s">
        <v>3755</v>
      </c>
      <c r="G26" s="10"/>
      <c r="H26" s="7" t="s">
        <v>3542</v>
      </c>
      <c r="I26" s="7" t="s">
        <v>3756</v>
      </c>
      <c r="J26" s="7" t="s">
        <v>3426</v>
      </c>
      <c r="K26" s="7" t="s">
        <v>3757</v>
      </c>
      <c r="L26" s="11" t="str">
        <f>HYPERLINK("http://slimages.macys.com/is/image/MCY/11798458 ")</f>
        <v xml:space="preserve">http://slimages.macys.com/is/image/MCY/11798458 </v>
      </c>
    </row>
    <row r="27" spans="1:12" ht="39.950000000000003" customHeight="1" x14ac:dyDescent="0.25">
      <c r="A27" s="6" t="s">
        <v>3114</v>
      </c>
      <c r="B27" s="7" t="s">
        <v>3115</v>
      </c>
      <c r="C27" s="8">
        <v>1</v>
      </c>
      <c r="D27" s="9">
        <v>59.99</v>
      </c>
      <c r="E27" s="8" t="s">
        <v>3116</v>
      </c>
      <c r="F27" s="7" t="s">
        <v>4304</v>
      </c>
      <c r="G27" s="10"/>
      <c r="H27" s="7" t="s">
        <v>3467</v>
      </c>
      <c r="I27" s="7" t="s">
        <v>4333</v>
      </c>
      <c r="J27" s="7" t="s">
        <v>3426</v>
      </c>
      <c r="K27" s="7" t="s">
        <v>4251</v>
      </c>
      <c r="L27" s="11" t="str">
        <f>HYPERLINK("http://slimages.macys.com/is/image/MCY/17667941 ")</f>
        <v xml:space="preserve">http://slimages.macys.com/is/image/MCY/17667941 </v>
      </c>
    </row>
    <row r="28" spans="1:12" ht="39.950000000000003" customHeight="1" x14ac:dyDescent="0.25">
      <c r="A28" s="6" t="s">
        <v>3117</v>
      </c>
      <c r="B28" s="7" t="s">
        <v>3118</v>
      </c>
      <c r="C28" s="8">
        <v>1</v>
      </c>
      <c r="D28" s="9">
        <v>59.99</v>
      </c>
      <c r="E28" s="8" t="s">
        <v>3119</v>
      </c>
      <c r="F28" s="7" t="s">
        <v>3477</v>
      </c>
      <c r="G28" s="10"/>
      <c r="H28" s="7" t="s">
        <v>3467</v>
      </c>
      <c r="I28" s="7" t="s">
        <v>4333</v>
      </c>
      <c r="J28" s="7" t="s">
        <v>3426</v>
      </c>
      <c r="K28" s="7" t="s">
        <v>4251</v>
      </c>
      <c r="L28" s="11" t="str">
        <f>HYPERLINK("http://slimages.macys.com/is/image/MCY/17667941 ")</f>
        <v xml:space="preserve">http://slimages.macys.com/is/image/MCY/17667941 </v>
      </c>
    </row>
    <row r="29" spans="1:12" ht="39.950000000000003" customHeight="1" x14ac:dyDescent="0.25">
      <c r="A29" s="6" t="s">
        <v>3120</v>
      </c>
      <c r="B29" s="7" t="s">
        <v>3121</v>
      </c>
      <c r="C29" s="8">
        <v>1</v>
      </c>
      <c r="D29" s="9">
        <v>84.99</v>
      </c>
      <c r="E29" s="8" t="s">
        <v>3122</v>
      </c>
      <c r="F29" s="7" t="s">
        <v>3477</v>
      </c>
      <c r="G29" s="10"/>
      <c r="H29" s="7" t="s">
        <v>3440</v>
      </c>
      <c r="I29" s="7" t="s">
        <v>3083</v>
      </c>
      <c r="J29" s="7" t="s">
        <v>2633</v>
      </c>
      <c r="K29" s="7" t="s">
        <v>3123</v>
      </c>
      <c r="L29" s="11" t="str">
        <f>HYPERLINK("http://images.bloomingdales.com/is/image/BLM/10788467 ")</f>
        <v xml:space="preserve">http://images.bloomingdales.com/is/image/BLM/10788467 </v>
      </c>
    </row>
    <row r="30" spans="1:12" ht="39.950000000000003" customHeight="1" x14ac:dyDescent="0.25">
      <c r="A30" s="6" t="s">
        <v>3124</v>
      </c>
      <c r="B30" s="7" t="s">
        <v>3125</v>
      </c>
      <c r="C30" s="8">
        <v>1</v>
      </c>
      <c r="D30" s="9">
        <v>45.99</v>
      </c>
      <c r="E30" s="8" t="s">
        <v>3126</v>
      </c>
      <c r="F30" s="7" t="s">
        <v>3445</v>
      </c>
      <c r="G30" s="10" t="s">
        <v>3127</v>
      </c>
      <c r="H30" s="7" t="s">
        <v>3559</v>
      </c>
      <c r="I30" s="7" t="s">
        <v>3756</v>
      </c>
      <c r="J30" s="7" t="s">
        <v>3601</v>
      </c>
      <c r="K30" s="7" t="s">
        <v>3128</v>
      </c>
      <c r="L30" s="11" t="str">
        <f>HYPERLINK("http://slimages.macys.com/is/image/MCY/11798154 ")</f>
        <v xml:space="preserve">http://slimages.macys.com/is/image/MCY/11798154 </v>
      </c>
    </row>
    <row r="31" spans="1:12" ht="39.950000000000003" customHeight="1" x14ac:dyDescent="0.25">
      <c r="A31" s="6" t="s">
        <v>3129</v>
      </c>
      <c r="B31" s="7" t="s">
        <v>3130</v>
      </c>
      <c r="C31" s="8">
        <v>2</v>
      </c>
      <c r="D31" s="9">
        <v>111.98</v>
      </c>
      <c r="E31" s="8" t="s">
        <v>3131</v>
      </c>
      <c r="F31" s="7" t="s">
        <v>3132</v>
      </c>
      <c r="G31" s="10"/>
      <c r="H31" s="7" t="s">
        <v>3478</v>
      </c>
      <c r="I31" s="7" t="s">
        <v>2969</v>
      </c>
      <c r="J31" s="7" t="s">
        <v>3426</v>
      </c>
      <c r="K31" s="7" t="s">
        <v>4300</v>
      </c>
      <c r="L31" s="11" t="str">
        <f>HYPERLINK("http://slimages.macys.com/is/image/MCY/10023668 ")</f>
        <v xml:space="preserve">http://slimages.macys.com/is/image/MCY/10023668 </v>
      </c>
    </row>
    <row r="32" spans="1:12" ht="39.950000000000003" customHeight="1" x14ac:dyDescent="0.25">
      <c r="A32" s="6" t="s">
        <v>3133</v>
      </c>
      <c r="B32" s="7" t="s">
        <v>3134</v>
      </c>
      <c r="C32" s="8">
        <v>1</v>
      </c>
      <c r="D32" s="9">
        <v>39.99</v>
      </c>
      <c r="E32" s="8">
        <v>130360</v>
      </c>
      <c r="F32" s="7" t="s">
        <v>4096</v>
      </c>
      <c r="G32" s="10" t="s">
        <v>3439</v>
      </c>
      <c r="H32" s="7" t="s">
        <v>2471</v>
      </c>
      <c r="I32" s="7" t="s">
        <v>2575</v>
      </c>
      <c r="J32" s="7" t="s">
        <v>3426</v>
      </c>
      <c r="K32" s="7" t="s">
        <v>3135</v>
      </c>
      <c r="L32" s="11" t="str">
        <f>HYPERLINK("http://slimages.macys.com/is/image/MCY/3895749 ")</f>
        <v xml:space="preserve">http://slimages.macys.com/is/image/MCY/3895749 </v>
      </c>
    </row>
    <row r="33" spans="1:12" ht="39.950000000000003" customHeight="1" x14ac:dyDescent="0.25">
      <c r="A33" s="6" t="s">
        <v>3136</v>
      </c>
      <c r="B33" s="7" t="s">
        <v>3137</v>
      </c>
      <c r="C33" s="8">
        <v>1</v>
      </c>
      <c r="D33" s="9">
        <v>39.99</v>
      </c>
      <c r="E33" s="8">
        <v>130119</v>
      </c>
      <c r="F33" s="7" t="s">
        <v>3445</v>
      </c>
      <c r="G33" s="10" t="s">
        <v>3439</v>
      </c>
      <c r="H33" s="7" t="s">
        <v>2471</v>
      </c>
      <c r="I33" s="7" t="s">
        <v>2575</v>
      </c>
      <c r="J33" s="7" t="s">
        <v>3426</v>
      </c>
      <c r="K33" s="7" t="s">
        <v>3135</v>
      </c>
      <c r="L33" s="11" t="str">
        <f>HYPERLINK("http://slimages.macys.com/is/image/MCY/3895749 ")</f>
        <v xml:space="preserve">http://slimages.macys.com/is/image/MCY/3895749 </v>
      </c>
    </row>
    <row r="34" spans="1:12" ht="39.950000000000003" customHeight="1" x14ac:dyDescent="0.25">
      <c r="A34" s="6" t="s">
        <v>3138</v>
      </c>
      <c r="B34" s="7" t="s">
        <v>3139</v>
      </c>
      <c r="C34" s="8">
        <v>1</v>
      </c>
      <c r="D34" s="9">
        <v>59.99</v>
      </c>
      <c r="E34" s="8" t="s">
        <v>3140</v>
      </c>
      <c r="F34" s="7" t="s">
        <v>3445</v>
      </c>
      <c r="G34" s="10"/>
      <c r="H34" s="7" t="s">
        <v>3525</v>
      </c>
      <c r="I34" s="7" t="s">
        <v>3548</v>
      </c>
      <c r="J34" s="7"/>
      <c r="K34" s="7"/>
      <c r="L34" s="11" t="str">
        <f>HYPERLINK("http://slimages.macys.com/is/image/MCY/16080107 ")</f>
        <v xml:space="preserve">http://slimages.macys.com/is/image/MCY/16080107 </v>
      </c>
    </row>
    <row r="35" spans="1:12" ht="39.950000000000003" customHeight="1" x14ac:dyDescent="0.25">
      <c r="A35" s="6" t="s">
        <v>3141</v>
      </c>
      <c r="B35" s="7" t="s">
        <v>3142</v>
      </c>
      <c r="C35" s="8">
        <v>1</v>
      </c>
      <c r="D35" s="9">
        <v>34.99</v>
      </c>
      <c r="E35" s="8" t="s">
        <v>3143</v>
      </c>
      <c r="F35" s="7" t="s">
        <v>3445</v>
      </c>
      <c r="G35" s="10"/>
      <c r="H35" s="7" t="s">
        <v>3559</v>
      </c>
      <c r="I35" s="7" t="s">
        <v>2575</v>
      </c>
      <c r="J35" s="7" t="s">
        <v>3426</v>
      </c>
      <c r="K35" s="7" t="s">
        <v>3144</v>
      </c>
      <c r="L35" s="11" t="str">
        <f>HYPERLINK("http://slimages.macys.com/is/image/MCY/11189220 ")</f>
        <v xml:space="preserve">http://slimages.macys.com/is/image/MCY/11189220 </v>
      </c>
    </row>
    <row r="36" spans="1:12" ht="39.950000000000003" customHeight="1" x14ac:dyDescent="0.25">
      <c r="A36" s="6" t="s">
        <v>3145</v>
      </c>
      <c r="B36" s="7" t="s">
        <v>3146</v>
      </c>
      <c r="C36" s="8">
        <v>3</v>
      </c>
      <c r="D36" s="9">
        <v>86.97</v>
      </c>
      <c r="E36" s="8" t="s">
        <v>3147</v>
      </c>
      <c r="F36" s="7" t="s">
        <v>3535</v>
      </c>
      <c r="G36" s="10" t="s">
        <v>3489</v>
      </c>
      <c r="H36" s="7" t="s">
        <v>3542</v>
      </c>
      <c r="I36" s="7" t="s">
        <v>3148</v>
      </c>
      <c r="J36" s="7" t="s">
        <v>3426</v>
      </c>
      <c r="K36" s="7" t="s">
        <v>3149</v>
      </c>
      <c r="L36" s="11" t="str">
        <f>HYPERLINK("http://slimages.macys.com/is/image/MCY/13057378 ")</f>
        <v xml:space="preserve">http://slimages.macys.com/is/image/MCY/13057378 </v>
      </c>
    </row>
    <row r="37" spans="1:12" ht="39.950000000000003" customHeight="1" x14ac:dyDescent="0.25">
      <c r="A37" s="6" t="s">
        <v>3150</v>
      </c>
      <c r="B37" s="7" t="s">
        <v>3151</v>
      </c>
      <c r="C37" s="8">
        <v>1</v>
      </c>
      <c r="D37" s="9">
        <v>19.989999999999998</v>
      </c>
      <c r="E37" s="8" t="s">
        <v>3152</v>
      </c>
      <c r="F37" s="7" t="s">
        <v>4022</v>
      </c>
      <c r="G37" s="10"/>
      <c r="H37" s="7" t="s">
        <v>3424</v>
      </c>
      <c r="I37" s="7" t="s">
        <v>3508</v>
      </c>
      <c r="J37" s="7" t="s">
        <v>3426</v>
      </c>
      <c r="K37" s="7" t="s">
        <v>3153</v>
      </c>
      <c r="L37" s="11" t="str">
        <f>HYPERLINK("http://slimages.macys.com/is/image/MCY/8095477 ")</f>
        <v xml:space="preserve">http://slimages.macys.com/is/image/MCY/8095477 </v>
      </c>
    </row>
    <row r="38" spans="1:12" ht="39.950000000000003" customHeight="1" x14ac:dyDescent="0.25">
      <c r="A38" s="6" t="s">
        <v>4355</v>
      </c>
      <c r="B38" s="7" t="s">
        <v>4356</v>
      </c>
      <c r="C38" s="8">
        <v>1</v>
      </c>
      <c r="D38" s="9">
        <v>16.989999999999998</v>
      </c>
      <c r="E38" s="8" t="s">
        <v>4357</v>
      </c>
      <c r="F38" s="7" t="s">
        <v>3445</v>
      </c>
      <c r="G38" s="10"/>
      <c r="H38" s="7" t="s">
        <v>3559</v>
      </c>
      <c r="I38" s="7" t="s">
        <v>3996</v>
      </c>
      <c r="J38" s="7"/>
      <c r="K38" s="7"/>
      <c r="L38" s="11" t="str">
        <f>HYPERLINK("http://slimages.macys.com/is/image/MCY/17934766 ")</f>
        <v xml:space="preserve">http://slimages.macys.com/is/image/MCY/17934766 </v>
      </c>
    </row>
    <row r="39" spans="1:12" ht="39.950000000000003" customHeight="1" x14ac:dyDescent="0.25">
      <c r="A39" s="6" t="s">
        <v>3154</v>
      </c>
      <c r="B39" s="7" t="s">
        <v>3155</v>
      </c>
      <c r="C39" s="8">
        <v>1</v>
      </c>
      <c r="D39" s="9">
        <v>74.989999999999995</v>
      </c>
      <c r="E39" s="8" t="s">
        <v>3156</v>
      </c>
      <c r="F39" s="7" t="s">
        <v>3535</v>
      </c>
      <c r="G39" s="10"/>
      <c r="H39" s="7" t="s">
        <v>3440</v>
      </c>
      <c r="I39" s="7" t="s">
        <v>3083</v>
      </c>
      <c r="J39" s="7" t="s">
        <v>2633</v>
      </c>
      <c r="K39" s="7" t="s">
        <v>3157</v>
      </c>
      <c r="L39" s="11" t="str">
        <f>HYPERLINK("http://images.bloomingdales.com/is/image/BLM/9082370 ")</f>
        <v xml:space="preserve">http://images.bloomingdales.com/is/image/BLM/9082370 </v>
      </c>
    </row>
    <row r="40" spans="1:12" ht="39.950000000000003" customHeight="1" x14ac:dyDescent="0.25">
      <c r="A40" s="6" t="s">
        <v>3158</v>
      </c>
      <c r="B40" s="7" t="s">
        <v>3159</v>
      </c>
      <c r="C40" s="8">
        <v>2</v>
      </c>
      <c r="D40" s="9">
        <v>49.98</v>
      </c>
      <c r="E40" s="8" t="s">
        <v>3160</v>
      </c>
      <c r="F40" s="7"/>
      <c r="G40" s="10" t="s">
        <v>3641</v>
      </c>
      <c r="H40" s="7" t="s">
        <v>3478</v>
      </c>
      <c r="I40" s="7" t="s">
        <v>2572</v>
      </c>
      <c r="J40" s="7"/>
      <c r="K40" s="7"/>
      <c r="L40" s="11" t="str">
        <f>HYPERLINK("http://slimages.macys.com/is/image/MCY/17893199 ")</f>
        <v xml:space="preserve">http://slimages.macys.com/is/image/MCY/17893199 </v>
      </c>
    </row>
    <row r="41" spans="1:12" ht="39.950000000000003" customHeight="1" x14ac:dyDescent="0.25">
      <c r="A41" s="6" t="s">
        <v>3161</v>
      </c>
      <c r="B41" s="7" t="s">
        <v>3162</v>
      </c>
      <c r="C41" s="8">
        <v>2</v>
      </c>
      <c r="D41" s="9">
        <v>59.98</v>
      </c>
      <c r="E41" s="8" t="s">
        <v>3163</v>
      </c>
      <c r="F41" s="7" t="s">
        <v>3610</v>
      </c>
      <c r="G41" s="10" t="s">
        <v>3773</v>
      </c>
      <c r="H41" s="7" t="s">
        <v>3525</v>
      </c>
      <c r="I41" s="7" t="s">
        <v>3612</v>
      </c>
      <c r="J41" s="7" t="s">
        <v>3613</v>
      </c>
      <c r="K41" s="7"/>
      <c r="L41" s="11" t="str">
        <f>HYPERLINK("http://slimages.macys.com/is/image/MCY/9526176 ")</f>
        <v xml:space="preserve">http://slimages.macys.com/is/image/MCY/9526176 </v>
      </c>
    </row>
    <row r="42" spans="1:12" ht="39.950000000000003" customHeight="1" x14ac:dyDescent="0.25">
      <c r="A42" s="6" t="s">
        <v>3164</v>
      </c>
      <c r="B42" s="7" t="s">
        <v>3165</v>
      </c>
      <c r="C42" s="8">
        <v>1</v>
      </c>
      <c r="D42" s="9">
        <v>41.99</v>
      </c>
      <c r="E42" s="8" t="s">
        <v>3166</v>
      </c>
      <c r="F42" s="7" t="s">
        <v>3610</v>
      </c>
      <c r="G42" s="10" t="s">
        <v>3773</v>
      </c>
      <c r="H42" s="7" t="s">
        <v>3525</v>
      </c>
      <c r="I42" s="7" t="s">
        <v>3612</v>
      </c>
      <c r="J42" s="7" t="s">
        <v>3613</v>
      </c>
      <c r="K42" s="7"/>
      <c r="L42" s="11" t="str">
        <f>HYPERLINK("http://slimages.macys.com/is/image/MCY/9406085 ")</f>
        <v xml:space="preserve">http://slimages.macys.com/is/image/MCY/9406085 </v>
      </c>
    </row>
    <row r="43" spans="1:12" ht="39.950000000000003" customHeight="1" x14ac:dyDescent="0.25">
      <c r="A43" s="6" t="s">
        <v>3167</v>
      </c>
      <c r="B43" s="7" t="s">
        <v>3168</v>
      </c>
      <c r="C43" s="8">
        <v>1</v>
      </c>
      <c r="D43" s="9">
        <v>29.99</v>
      </c>
      <c r="E43" s="8" t="s">
        <v>3169</v>
      </c>
      <c r="F43" s="7"/>
      <c r="G43" s="10"/>
      <c r="H43" s="7" t="s">
        <v>3478</v>
      </c>
      <c r="I43" s="7" t="s">
        <v>2572</v>
      </c>
      <c r="J43" s="7" t="s">
        <v>3426</v>
      </c>
      <c r="K43" s="7" t="s">
        <v>3518</v>
      </c>
      <c r="L43" s="11" t="str">
        <f>HYPERLINK("http://slimages.macys.com/is/image/MCY/16143263 ")</f>
        <v xml:space="preserve">http://slimages.macys.com/is/image/MCY/16143263 </v>
      </c>
    </row>
    <row r="44" spans="1:12" ht="39.950000000000003" customHeight="1" x14ac:dyDescent="0.25">
      <c r="A44" s="6" t="s">
        <v>3170</v>
      </c>
      <c r="B44" s="7" t="s">
        <v>3171</v>
      </c>
      <c r="C44" s="8">
        <v>1</v>
      </c>
      <c r="D44" s="9">
        <v>19.989999999999998</v>
      </c>
      <c r="E44" s="8" t="s">
        <v>3172</v>
      </c>
      <c r="F44" s="7" t="s">
        <v>3431</v>
      </c>
      <c r="G44" s="10"/>
      <c r="H44" s="7" t="s">
        <v>3490</v>
      </c>
      <c r="I44" s="7" t="s">
        <v>4008</v>
      </c>
      <c r="J44" s="7"/>
      <c r="K44" s="7"/>
      <c r="L44" s="11" t="str">
        <f>HYPERLINK("http://slimages.macys.com/is/image/MCY/17620642 ")</f>
        <v xml:space="preserve">http://slimages.macys.com/is/image/MCY/17620642 </v>
      </c>
    </row>
    <row r="45" spans="1:12" ht="39.950000000000003" customHeight="1" x14ac:dyDescent="0.25">
      <c r="A45" s="6" t="s">
        <v>3173</v>
      </c>
      <c r="B45" s="7" t="s">
        <v>3174</v>
      </c>
      <c r="C45" s="8">
        <v>1</v>
      </c>
      <c r="D45" s="9">
        <v>19.989999999999998</v>
      </c>
      <c r="E45" s="8" t="s">
        <v>3175</v>
      </c>
      <c r="F45" s="7"/>
      <c r="G45" s="10"/>
      <c r="H45" s="7" t="s">
        <v>3583</v>
      </c>
      <c r="I45" s="7" t="s">
        <v>3553</v>
      </c>
      <c r="J45" s="7" t="s">
        <v>3426</v>
      </c>
      <c r="K45" s="7" t="s">
        <v>3492</v>
      </c>
      <c r="L45" s="11" t="str">
        <f>HYPERLINK("http://slimages.macys.com/is/image/MCY/16685185 ")</f>
        <v xml:space="preserve">http://slimages.macys.com/is/image/MCY/16685185 </v>
      </c>
    </row>
    <row r="46" spans="1:12" ht="39.950000000000003" customHeight="1" x14ac:dyDescent="0.25">
      <c r="A46" s="6" t="s">
        <v>2573</v>
      </c>
      <c r="B46" s="7" t="s">
        <v>2574</v>
      </c>
      <c r="C46" s="8">
        <v>2</v>
      </c>
      <c r="D46" s="9">
        <v>33.979999999999997</v>
      </c>
      <c r="E46" s="8">
        <v>202007</v>
      </c>
      <c r="F46" s="7" t="s">
        <v>3445</v>
      </c>
      <c r="G46" s="10"/>
      <c r="H46" s="7" t="s">
        <v>3559</v>
      </c>
      <c r="I46" s="7" t="s">
        <v>2575</v>
      </c>
      <c r="J46" s="7" t="s">
        <v>3426</v>
      </c>
      <c r="K46" s="7" t="s">
        <v>2576</v>
      </c>
      <c r="L46" s="11" t="str">
        <f>HYPERLINK("http://slimages.macys.com/is/image/MCY/16053943 ")</f>
        <v xml:space="preserve">http://slimages.macys.com/is/image/MCY/16053943 </v>
      </c>
    </row>
    <row r="47" spans="1:12" ht="39.950000000000003" customHeight="1" x14ac:dyDescent="0.25">
      <c r="A47" s="6" t="s">
        <v>4004</v>
      </c>
      <c r="B47" s="7" t="s">
        <v>4005</v>
      </c>
      <c r="C47" s="8">
        <v>1</v>
      </c>
      <c r="D47" s="9">
        <v>14.99</v>
      </c>
      <c r="E47" s="8" t="s">
        <v>4006</v>
      </c>
      <c r="F47" s="7" t="s">
        <v>3938</v>
      </c>
      <c r="G47" s="10" t="s">
        <v>4007</v>
      </c>
      <c r="H47" s="7" t="s">
        <v>3490</v>
      </c>
      <c r="I47" s="7" t="s">
        <v>4008</v>
      </c>
      <c r="J47" s="7"/>
      <c r="K47" s="7"/>
      <c r="L47" s="11" t="str">
        <f>HYPERLINK("http://slimages.macys.com/is/image/MCY/17620637 ")</f>
        <v xml:space="preserve">http://slimages.macys.com/is/image/MCY/17620637 </v>
      </c>
    </row>
    <row r="48" spans="1:12" ht="39.950000000000003" customHeight="1" x14ac:dyDescent="0.25">
      <c r="A48" s="6" t="s">
        <v>3650</v>
      </c>
      <c r="B48" s="7" t="s">
        <v>3651</v>
      </c>
      <c r="C48" s="8">
        <v>1</v>
      </c>
      <c r="D48" s="9">
        <v>16.989999999999998</v>
      </c>
      <c r="E48" s="8" t="s">
        <v>3652</v>
      </c>
      <c r="F48" s="7" t="s">
        <v>3445</v>
      </c>
      <c r="G48" s="10" t="s">
        <v>3653</v>
      </c>
      <c r="H48" s="7" t="s">
        <v>3654</v>
      </c>
      <c r="I48" s="7" t="s">
        <v>3655</v>
      </c>
      <c r="J48" s="7" t="s">
        <v>3426</v>
      </c>
      <c r="K48" s="7" t="s">
        <v>3492</v>
      </c>
      <c r="L48" s="11" t="str">
        <f>HYPERLINK("http://slimages.macys.com/is/image/MCY/12737864 ")</f>
        <v xml:space="preserve">http://slimages.macys.com/is/image/MCY/12737864 </v>
      </c>
    </row>
    <row r="49" spans="1:12" ht="39.950000000000003" customHeight="1" x14ac:dyDescent="0.25">
      <c r="A49" s="6" t="s">
        <v>3176</v>
      </c>
      <c r="B49" s="7" t="s">
        <v>3177</v>
      </c>
      <c r="C49" s="8">
        <v>1</v>
      </c>
      <c r="D49" s="9">
        <v>12.99</v>
      </c>
      <c r="E49" s="8" t="s">
        <v>3178</v>
      </c>
      <c r="F49" s="7" t="s">
        <v>3610</v>
      </c>
      <c r="G49" s="10"/>
      <c r="H49" s="7" t="s">
        <v>3583</v>
      </c>
      <c r="I49" s="7" t="s">
        <v>3553</v>
      </c>
      <c r="J49" s="7"/>
      <c r="K49" s="7"/>
      <c r="L49" s="11" t="str">
        <f>HYPERLINK("http://slimages.macys.com/is/image/MCY/9020997 ")</f>
        <v xml:space="preserve">http://slimages.macys.com/is/image/MCY/9020997 </v>
      </c>
    </row>
    <row r="50" spans="1:12" ht="39.950000000000003" customHeight="1" x14ac:dyDescent="0.25">
      <c r="A50" s="6" t="s">
        <v>3179</v>
      </c>
      <c r="B50" s="7" t="s">
        <v>3180</v>
      </c>
      <c r="C50" s="8">
        <v>1</v>
      </c>
      <c r="D50" s="9">
        <v>14.99</v>
      </c>
      <c r="E50" s="8" t="s">
        <v>3181</v>
      </c>
      <c r="F50" s="7"/>
      <c r="G50" s="10"/>
      <c r="H50" s="7" t="s">
        <v>3478</v>
      </c>
      <c r="I50" s="7" t="s">
        <v>2572</v>
      </c>
      <c r="J50" s="7"/>
      <c r="K50" s="7"/>
      <c r="L50" s="11" t="str">
        <f>HYPERLINK("http://slimages.macys.com/is/image/MCY/17145620 ")</f>
        <v xml:space="preserve">http://slimages.macys.com/is/image/MCY/17145620 </v>
      </c>
    </row>
    <row r="51" spans="1:12" ht="39.950000000000003" customHeight="1" x14ac:dyDescent="0.25">
      <c r="A51" s="6" t="s">
        <v>3182</v>
      </c>
      <c r="B51" s="7" t="s">
        <v>3183</v>
      </c>
      <c r="C51" s="8">
        <v>1</v>
      </c>
      <c r="D51" s="9">
        <v>12.99</v>
      </c>
      <c r="E51" s="8" t="s">
        <v>3184</v>
      </c>
      <c r="F51" s="7" t="s">
        <v>3674</v>
      </c>
      <c r="G51" s="10" t="s">
        <v>4360</v>
      </c>
      <c r="H51" s="7" t="s">
        <v>3635</v>
      </c>
      <c r="I51" s="7" t="s">
        <v>4326</v>
      </c>
      <c r="J51" s="7" t="s">
        <v>4367</v>
      </c>
      <c r="K51" s="7" t="s">
        <v>3185</v>
      </c>
      <c r="L51" s="11" t="str">
        <f>HYPERLINK("http://images.bloomingdales.com/is/image/BLM/10230973 ")</f>
        <v xml:space="preserve">http://images.bloomingdales.com/is/image/BLM/10230973 </v>
      </c>
    </row>
    <row r="52" spans="1:12" ht="39.950000000000003" customHeight="1" x14ac:dyDescent="0.25">
      <c r="A52" s="6" t="s">
        <v>3186</v>
      </c>
      <c r="B52" s="7" t="s">
        <v>3187</v>
      </c>
      <c r="C52" s="8">
        <v>2</v>
      </c>
      <c r="D52" s="9">
        <v>165</v>
      </c>
      <c r="E52" s="8"/>
      <c r="F52" s="7" t="s">
        <v>3610</v>
      </c>
      <c r="G52" s="10" t="s">
        <v>3489</v>
      </c>
      <c r="H52" s="7" t="s">
        <v>3669</v>
      </c>
      <c r="I52" s="7" t="s">
        <v>3670</v>
      </c>
      <c r="J52" s="7"/>
      <c r="K52" s="7"/>
      <c r="L52" s="11"/>
    </row>
    <row r="53" spans="1:12" ht="39.950000000000003" customHeight="1" x14ac:dyDescent="0.25">
      <c r="A53" s="6" t="s">
        <v>3667</v>
      </c>
      <c r="B53" s="7" t="s">
        <v>3668</v>
      </c>
      <c r="C53" s="8">
        <v>2</v>
      </c>
      <c r="D53" s="9">
        <v>80</v>
      </c>
      <c r="E53" s="8"/>
      <c r="F53" s="7" t="s">
        <v>3610</v>
      </c>
      <c r="G53" s="10" t="s">
        <v>3489</v>
      </c>
      <c r="H53" s="7" t="s">
        <v>3669</v>
      </c>
      <c r="I53" s="7" t="s">
        <v>3670</v>
      </c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3188</v>
      </c>
      <c r="B2" s="7" t="s">
        <v>3189</v>
      </c>
      <c r="C2" s="8">
        <v>1</v>
      </c>
      <c r="D2" s="9">
        <v>367.99</v>
      </c>
      <c r="E2" s="8" t="s">
        <v>3190</v>
      </c>
      <c r="F2" s="7" t="s">
        <v>4167</v>
      </c>
      <c r="G2" s="10"/>
      <c r="H2" s="7" t="s">
        <v>3478</v>
      </c>
      <c r="I2" s="7" t="s">
        <v>3191</v>
      </c>
      <c r="J2" s="7" t="s">
        <v>3549</v>
      </c>
      <c r="K2" s="7" t="s">
        <v>3492</v>
      </c>
      <c r="L2" s="11" t="str">
        <f>HYPERLINK("http://slimages.macys.com/is/image/MCY/10115300 ")</f>
        <v xml:space="preserve">http://slimages.macys.com/is/image/MCY/10115300 </v>
      </c>
    </row>
    <row r="3" spans="1:12" ht="39.950000000000003" customHeight="1" x14ac:dyDescent="0.25">
      <c r="A3" s="6" t="s">
        <v>3192</v>
      </c>
      <c r="B3" s="7" t="s">
        <v>3193</v>
      </c>
      <c r="C3" s="8">
        <v>1</v>
      </c>
      <c r="D3" s="9">
        <v>239.99</v>
      </c>
      <c r="E3" s="8" t="s">
        <v>3194</v>
      </c>
      <c r="F3" s="7" t="s">
        <v>3445</v>
      </c>
      <c r="G3" s="10" t="s">
        <v>3439</v>
      </c>
      <c r="H3" s="7" t="s">
        <v>3676</v>
      </c>
      <c r="I3" s="7" t="s">
        <v>3548</v>
      </c>
      <c r="J3" s="7" t="s">
        <v>3564</v>
      </c>
      <c r="K3" s="7" t="s">
        <v>3879</v>
      </c>
      <c r="L3" s="11" t="str">
        <f>HYPERLINK("http://slimages.macys.com/is/image/MCY/3962568 ")</f>
        <v xml:space="preserve">http://slimages.macys.com/is/image/MCY/3962568 </v>
      </c>
    </row>
    <row r="4" spans="1:12" ht="39.950000000000003" customHeight="1" x14ac:dyDescent="0.25">
      <c r="A4" s="6" t="s">
        <v>3195</v>
      </c>
      <c r="B4" s="7" t="s">
        <v>3196</v>
      </c>
      <c r="C4" s="8">
        <v>1</v>
      </c>
      <c r="D4" s="9">
        <v>179.99</v>
      </c>
      <c r="E4" s="8">
        <v>80802</v>
      </c>
      <c r="F4" s="7" t="s">
        <v>4022</v>
      </c>
      <c r="G4" s="10"/>
      <c r="H4" s="7" t="s">
        <v>3478</v>
      </c>
      <c r="I4" s="7" t="s">
        <v>3479</v>
      </c>
      <c r="J4" s="7" t="s">
        <v>3613</v>
      </c>
      <c r="K4" s="7" t="s">
        <v>3197</v>
      </c>
      <c r="L4" s="11" t="str">
        <f>HYPERLINK("http://slimages.macys.com/is/image/MCY/12245311 ")</f>
        <v xml:space="preserve">http://slimages.macys.com/is/image/MCY/12245311 </v>
      </c>
    </row>
    <row r="5" spans="1:12" ht="39.950000000000003" customHeight="1" x14ac:dyDescent="0.25">
      <c r="A5" s="6" t="s">
        <v>2756</v>
      </c>
      <c r="B5" s="7" t="s">
        <v>2757</v>
      </c>
      <c r="C5" s="8">
        <v>1</v>
      </c>
      <c r="D5" s="9">
        <v>189.99</v>
      </c>
      <c r="E5" s="8">
        <v>20192121</v>
      </c>
      <c r="F5" s="7" t="s">
        <v>3477</v>
      </c>
      <c r="G5" s="10"/>
      <c r="H5" s="7" t="s">
        <v>3424</v>
      </c>
      <c r="I5" s="7" t="s">
        <v>3700</v>
      </c>
      <c r="J5" s="7" t="s">
        <v>3426</v>
      </c>
      <c r="K5" s="7" t="s">
        <v>2758</v>
      </c>
      <c r="L5" s="11" t="str">
        <f>HYPERLINK("http://slimages.macys.com/is/image/MCY/14332355 ")</f>
        <v xml:space="preserve">http://slimages.macys.com/is/image/MCY/14332355 </v>
      </c>
    </row>
    <row r="6" spans="1:12" ht="39.950000000000003" customHeight="1" x14ac:dyDescent="0.25">
      <c r="A6" s="6" t="s">
        <v>3198</v>
      </c>
      <c r="B6" s="7" t="s">
        <v>3199</v>
      </c>
      <c r="C6" s="8">
        <v>1</v>
      </c>
      <c r="D6" s="9">
        <v>123.99</v>
      </c>
      <c r="E6" s="8">
        <v>620791</v>
      </c>
      <c r="F6" s="7" t="s">
        <v>3804</v>
      </c>
      <c r="G6" s="10"/>
      <c r="H6" s="7" t="s">
        <v>3695</v>
      </c>
      <c r="I6" s="7" t="s">
        <v>3200</v>
      </c>
      <c r="J6" s="7" t="s">
        <v>3426</v>
      </c>
      <c r="K6" s="7" t="s">
        <v>4300</v>
      </c>
      <c r="L6" s="11" t="str">
        <f>HYPERLINK("http://slimages.macys.com/is/image/MCY/15813671 ")</f>
        <v xml:space="preserve">http://slimages.macys.com/is/image/MCY/15813671 </v>
      </c>
    </row>
    <row r="7" spans="1:12" ht="39.950000000000003" customHeight="1" x14ac:dyDescent="0.25">
      <c r="A7" s="6" t="s">
        <v>3201</v>
      </c>
      <c r="B7" s="7" t="s">
        <v>3202</v>
      </c>
      <c r="C7" s="8">
        <v>1</v>
      </c>
      <c r="D7" s="9">
        <v>199.99</v>
      </c>
      <c r="E7" s="8" t="s">
        <v>3203</v>
      </c>
      <c r="F7" s="7" t="s">
        <v>3431</v>
      </c>
      <c r="G7" s="10"/>
      <c r="H7" s="7" t="s">
        <v>3440</v>
      </c>
      <c r="I7" s="7" t="s">
        <v>3446</v>
      </c>
      <c r="J7" s="7" t="s">
        <v>3426</v>
      </c>
      <c r="K7" s="7"/>
      <c r="L7" s="11" t="str">
        <f>HYPERLINK("http://slimages.macys.com/is/image/MCY/16688295 ")</f>
        <v xml:space="preserve">http://slimages.macys.com/is/image/MCY/16688295 </v>
      </c>
    </row>
    <row r="8" spans="1:12" ht="39.950000000000003" customHeight="1" x14ac:dyDescent="0.25">
      <c r="A8" s="6" t="s">
        <v>3204</v>
      </c>
      <c r="B8" s="7" t="s">
        <v>3205</v>
      </c>
      <c r="C8" s="8">
        <v>1</v>
      </c>
      <c r="D8" s="9">
        <v>149.99</v>
      </c>
      <c r="E8" s="8" t="s">
        <v>3206</v>
      </c>
      <c r="F8" s="7" t="s">
        <v>3938</v>
      </c>
      <c r="G8" s="10"/>
      <c r="H8" s="7" t="s">
        <v>3478</v>
      </c>
      <c r="I8" s="7" t="s">
        <v>3553</v>
      </c>
      <c r="J8" s="7" t="s">
        <v>3426</v>
      </c>
      <c r="K8" s="7" t="s">
        <v>3207</v>
      </c>
      <c r="L8" s="11" t="str">
        <f>HYPERLINK("http://slimages.macys.com/is/image/MCY/9627783 ")</f>
        <v xml:space="preserve">http://slimages.macys.com/is/image/MCY/9627783 </v>
      </c>
    </row>
    <row r="9" spans="1:12" ht="39.950000000000003" customHeight="1" x14ac:dyDescent="0.25">
      <c r="A9" s="6" t="s">
        <v>3208</v>
      </c>
      <c r="B9" s="7" t="s">
        <v>3209</v>
      </c>
      <c r="C9" s="8">
        <v>1</v>
      </c>
      <c r="D9" s="9">
        <v>149.99</v>
      </c>
      <c r="E9" s="8" t="s">
        <v>3210</v>
      </c>
      <c r="F9" s="7" t="s">
        <v>3445</v>
      </c>
      <c r="G9" s="10"/>
      <c r="H9" s="7" t="s">
        <v>3572</v>
      </c>
      <c r="I9" s="7" t="s">
        <v>3724</v>
      </c>
      <c r="J9" s="7" t="s">
        <v>3613</v>
      </c>
      <c r="K9" s="7"/>
      <c r="L9" s="11" t="str">
        <f>HYPERLINK("http://slimages.macys.com/is/image/MCY/8905437 ")</f>
        <v xml:space="preserve">http://slimages.macys.com/is/image/MCY/8905437 </v>
      </c>
    </row>
    <row r="10" spans="1:12" ht="39.950000000000003" customHeight="1" x14ac:dyDescent="0.25">
      <c r="A10" s="6" t="s">
        <v>3211</v>
      </c>
      <c r="B10" s="7" t="s">
        <v>3212</v>
      </c>
      <c r="C10" s="8">
        <v>1</v>
      </c>
      <c r="D10" s="9">
        <v>129.99</v>
      </c>
      <c r="E10" s="8" t="s">
        <v>3213</v>
      </c>
      <c r="F10" s="7" t="s">
        <v>3463</v>
      </c>
      <c r="G10" s="10"/>
      <c r="H10" s="7" t="s">
        <v>3452</v>
      </c>
      <c r="I10" s="7" t="s">
        <v>3453</v>
      </c>
      <c r="J10" s="7"/>
      <c r="K10" s="7"/>
      <c r="L10" s="11" t="str">
        <f>HYPERLINK("http://slimages.macys.com/is/image/MCY/17050009 ")</f>
        <v xml:space="preserve">http://slimages.macys.com/is/image/MCY/17050009 </v>
      </c>
    </row>
    <row r="11" spans="1:12" ht="39.950000000000003" customHeight="1" x14ac:dyDescent="0.25">
      <c r="A11" s="6" t="s">
        <v>3214</v>
      </c>
      <c r="B11" s="7" t="s">
        <v>3215</v>
      </c>
      <c r="C11" s="8">
        <v>1</v>
      </c>
      <c r="D11" s="9">
        <v>99.99</v>
      </c>
      <c r="E11" s="8" t="s">
        <v>3216</v>
      </c>
      <c r="F11" s="7" t="s">
        <v>3457</v>
      </c>
      <c r="G11" s="10"/>
      <c r="H11" s="7" t="s">
        <v>3458</v>
      </c>
      <c r="I11" s="7" t="s">
        <v>3459</v>
      </c>
      <c r="J11" s="7" t="s">
        <v>3426</v>
      </c>
      <c r="K11" s="7"/>
      <c r="L11" s="11" t="str">
        <f>HYPERLINK("http://slimages.macys.com/is/image/MCY/11534834 ")</f>
        <v xml:space="preserve">http://slimages.macys.com/is/image/MCY/11534834 </v>
      </c>
    </row>
    <row r="12" spans="1:12" ht="39.950000000000003" customHeight="1" x14ac:dyDescent="0.25">
      <c r="A12" s="6" t="s">
        <v>3217</v>
      </c>
      <c r="B12" s="7" t="s">
        <v>3218</v>
      </c>
      <c r="C12" s="8">
        <v>1</v>
      </c>
      <c r="D12" s="9">
        <v>99.99</v>
      </c>
      <c r="E12" s="8" t="s">
        <v>3219</v>
      </c>
      <c r="F12" s="7" t="s">
        <v>3496</v>
      </c>
      <c r="G12" s="10"/>
      <c r="H12" s="7" t="s">
        <v>3452</v>
      </c>
      <c r="I12" s="7" t="s">
        <v>3453</v>
      </c>
      <c r="J12" s="7"/>
      <c r="K12" s="7"/>
      <c r="L12" s="11" t="str">
        <f>HYPERLINK("http://slimages.macys.com/is/image/MCY/17050004 ")</f>
        <v xml:space="preserve">http://slimages.macys.com/is/image/MCY/17050004 </v>
      </c>
    </row>
    <row r="13" spans="1:12" ht="39.950000000000003" customHeight="1" x14ac:dyDescent="0.25">
      <c r="A13" s="6" t="s">
        <v>3220</v>
      </c>
      <c r="B13" s="7" t="s">
        <v>3221</v>
      </c>
      <c r="C13" s="8">
        <v>1</v>
      </c>
      <c r="D13" s="9">
        <v>99.99</v>
      </c>
      <c r="E13" s="8" t="s">
        <v>3222</v>
      </c>
      <c r="F13" s="7" t="s">
        <v>3463</v>
      </c>
      <c r="G13" s="10"/>
      <c r="H13" s="7" t="s">
        <v>3452</v>
      </c>
      <c r="I13" s="7" t="s">
        <v>3453</v>
      </c>
      <c r="J13" s="7" t="s">
        <v>3426</v>
      </c>
      <c r="K13" s="7"/>
      <c r="L13" s="11" t="str">
        <f>HYPERLINK("http://slimages.macys.com/is/image/MCY/16093917 ")</f>
        <v xml:space="preserve">http://slimages.macys.com/is/image/MCY/16093917 </v>
      </c>
    </row>
    <row r="14" spans="1:12" ht="39.950000000000003" customHeight="1" x14ac:dyDescent="0.25">
      <c r="A14" s="6" t="s">
        <v>3223</v>
      </c>
      <c r="B14" s="7" t="s">
        <v>3224</v>
      </c>
      <c r="C14" s="8">
        <v>1</v>
      </c>
      <c r="D14" s="9">
        <v>99.99</v>
      </c>
      <c r="E14" s="8">
        <v>72311</v>
      </c>
      <c r="F14" s="7" t="s">
        <v>3445</v>
      </c>
      <c r="G14" s="10"/>
      <c r="H14" s="7" t="s">
        <v>3559</v>
      </c>
      <c r="I14" s="7" t="s">
        <v>3560</v>
      </c>
      <c r="J14" s="7"/>
      <c r="K14" s="7"/>
      <c r="L14" s="11" t="str">
        <f>HYPERLINK("http://slimages.macys.com/is/image/MCY/16708772 ")</f>
        <v xml:space="preserve">http://slimages.macys.com/is/image/MCY/16708772 </v>
      </c>
    </row>
    <row r="15" spans="1:12" ht="39.950000000000003" customHeight="1" x14ac:dyDescent="0.25">
      <c r="A15" s="6" t="s">
        <v>3225</v>
      </c>
      <c r="B15" s="7" t="s">
        <v>3226</v>
      </c>
      <c r="C15" s="8">
        <v>1</v>
      </c>
      <c r="D15" s="9">
        <v>99.99</v>
      </c>
      <c r="E15" s="8" t="s">
        <v>3227</v>
      </c>
      <c r="F15" s="7" t="s">
        <v>3445</v>
      </c>
      <c r="G15" s="10" t="s">
        <v>2503</v>
      </c>
      <c r="H15" s="7" t="s">
        <v>3559</v>
      </c>
      <c r="I15" s="7" t="s">
        <v>3777</v>
      </c>
      <c r="J15" s="7"/>
      <c r="K15" s="7"/>
      <c r="L15" s="11" t="str">
        <f>HYPERLINK("http://slimages.macys.com/is/image/MCY/17546377 ")</f>
        <v xml:space="preserve">http://slimages.macys.com/is/image/MCY/17546377 </v>
      </c>
    </row>
    <row r="16" spans="1:12" ht="39.950000000000003" customHeight="1" x14ac:dyDescent="0.25">
      <c r="A16" s="6" t="s">
        <v>3228</v>
      </c>
      <c r="B16" s="7" t="s">
        <v>3229</v>
      </c>
      <c r="C16" s="8">
        <v>1</v>
      </c>
      <c r="D16" s="9">
        <v>99.99</v>
      </c>
      <c r="E16" s="8" t="s">
        <v>3230</v>
      </c>
      <c r="F16" s="7" t="s">
        <v>3463</v>
      </c>
      <c r="G16" s="10"/>
      <c r="H16" s="7" t="s">
        <v>3490</v>
      </c>
      <c r="I16" s="7" t="s">
        <v>2969</v>
      </c>
      <c r="J16" s="7" t="s">
        <v>3426</v>
      </c>
      <c r="K16" s="7" t="s">
        <v>3518</v>
      </c>
      <c r="L16" s="11" t="str">
        <f>HYPERLINK("http://slimages.macys.com/is/image/MCY/14425215 ")</f>
        <v xml:space="preserve">http://slimages.macys.com/is/image/MCY/14425215 </v>
      </c>
    </row>
    <row r="17" spans="1:12" ht="39.950000000000003" customHeight="1" x14ac:dyDescent="0.25">
      <c r="A17" s="6" t="s">
        <v>3231</v>
      </c>
      <c r="B17" s="7" t="s">
        <v>3232</v>
      </c>
      <c r="C17" s="8">
        <v>2</v>
      </c>
      <c r="D17" s="9">
        <v>199.98</v>
      </c>
      <c r="E17" s="8" t="s">
        <v>3233</v>
      </c>
      <c r="F17" s="7" t="s">
        <v>3463</v>
      </c>
      <c r="G17" s="10"/>
      <c r="H17" s="7" t="s">
        <v>3452</v>
      </c>
      <c r="I17" s="7" t="s">
        <v>3453</v>
      </c>
      <c r="J17" s="7" t="s">
        <v>3426</v>
      </c>
      <c r="K17" s="7"/>
      <c r="L17" s="11" t="str">
        <f>HYPERLINK("http://slimages.macys.com/is/image/MCY/16143824 ")</f>
        <v xml:space="preserve">http://slimages.macys.com/is/image/MCY/16143824 </v>
      </c>
    </row>
    <row r="18" spans="1:12" ht="39.950000000000003" customHeight="1" x14ac:dyDescent="0.25">
      <c r="A18" s="6" t="s">
        <v>3234</v>
      </c>
      <c r="B18" s="7" t="s">
        <v>3235</v>
      </c>
      <c r="C18" s="8">
        <v>2</v>
      </c>
      <c r="D18" s="9">
        <v>139.97999999999999</v>
      </c>
      <c r="E18" s="8" t="s">
        <v>3236</v>
      </c>
      <c r="F18" s="7" t="s">
        <v>3445</v>
      </c>
      <c r="G18" s="10"/>
      <c r="H18" s="7" t="s">
        <v>3424</v>
      </c>
      <c r="I18" s="7" t="s">
        <v>3508</v>
      </c>
      <c r="J18" s="7" t="s">
        <v>3426</v>
      </c>
      <c r="K18" s="7"/>
      <c r="L18" s="11" t="str">
        <f>HYPERLINK("http://slimages.macys.com/is/image/MCY/8740290 ")</f>
        <v xml:space="preserve">http://slimages.macys.com/is/image/MCY/8740290 </v>
      </c>
    </row>
    <row r="19" spans="1:12" ht="39.950000000000003" customHeight="1" x14ac:dyDescent="0.25">
      <c r="A19" s="6" t="s">
        <v>3237</v>
      </c>
      <c r="B19" s="7" t="s">
        <v>3238</v>
      </c>
      <c r="C19" s="8">
        <v>1</v>
      </c>
      <c r="D19" s="9">
        <v>66</v>
      </c>
      <c r="E19" s="8" t="s">
        <v>3239</v>
      </c>
      <c r="F19" s="7" t="s">
        <v>3240</v>
      </c>
      <c r="G19" s="10"/>
      <c r="H19" s="7" t="s">
        <v>3635</v>
      </c>
      <c r="I19" s="7" t="s">
        <v>3043</v>
      </c>
      <c r="J19" s="7" t="s">
        <v>4367</v>
      </c>
      <c r="K19" s="7" t="s">
        <v>3556</v>
      </c>
      <c r="L19" s="11" t="str">
        <f>HYPERLINK("http://images.bloomingdales.com/is/image/BLM/10052840 ")</f>
        <v xml:space="preserve">http://images.bloomingdales.com/is/image/BLM/10052840 </v>
      </c>
    </row>
    <row r="20" spans="1:12" ht="39.950000000000003" customHeight="1" x14ac:dyDescent="0.25">
      <c r="A20" s="6" t="s">
        <v>2801</v>
      </c>
      <c r="B20" s="7" t="s">
        <v>2802</v>
      </c>
      <c r="C20" s="8">
        <v>1</v>
      </c>
      <c r="D20" s="9">
        <v>49.99</v>
      </c>
      <c r="E20" s="8" t="s">
        <v>2803</v>
      </c>
      <c r="F20" s="7" t="s">
        <v>3445</v>
      </c>
      <c r="G20" s="10"/>
      <c r="H20" s="7" t="s">
        <v>3478</v>
      </c>
      <c r="I20" s="7" t="s">
        <v>3517</v>
      </c>
      <c r="J20" s="7" t="s">
        <v>3426</v>
      </c>
      <c r="K20" s="7" t="s">
        <v>3592</v>
      </c>
      <c r="L20" s="11" t="str">
        <f>HYPERLINK("http://slimages.macys.com/is/image/MCY/9330026 ")</f>
        <v xml:space="preserve">http://slimages.macys.com/is/image/MCY/9330026 </v>
      </c>
    </row>
    <row r="21" spans="1:12" ht="39.950000000000003" customHeight="1" x14ac:dyDescent="0.25">
      <c r="A21" s="6" t="s">
        <v>3241</v>
      </c>
      <c r="B21" s="7" t="s">
        <v>3242</v>
      </c>
      <c r="C21" s="8">
        <v>1</v>
      </c>
      <c r="D21" s="9">
        <v>39.99</v>
      </c>
      <c r="E21" s="8" t="s">
        <v>3243</v>
      </c>
      <c r="F21" s="7" t="s">
        <v>3445</v>
      </c>
      <c r="G21" s="10"/>
      <c r="H21" s="7" t="s">
        <v>3458</v>
      </c>
      <c r="I21" s="7" t="s">
        <v>3459</v>
      </c>
      <c r="J21" s="7" t="s">
        <v>3426</v>
      </c>
      <c r="K21" s="7" t="s">
        <v>3980</v>
      </c>
      <c r="L21" s="11" t="str">
        <f>HYPERLINK("http://slimages.macys.com/is/image/MCY/11607139 ")</f>
        <v xml:space="preserve">http://slimages.macys.com/is/image/MCY/11607139 </v>
      </c>
    </row>
    <row r="22" spans="1:12" ht="39.950000000000003" customHeight="1" x14ac:dyDescent="0.25">
      <c r="A22" s="6" t="s">
        <v>3244</v>
      </c>
      <c r="B22" s="7" t="s">
        <v>3245</v>
      </c>
      <c r="C22" s="8">
        <v>1</v>
      </c>
      <c r="D22" s="9">
        <v>49.99</v>
      </c>
      <c r="E22" s="8" t="s">
        <v>3246</v>
      </c>
      <c r="F22" s="7" t="s">
        <v>3445</v>
      </c>
      <c r="G22" s="10"/>
      <c r="H22" s="7" t="s">
        <v>3424</v>
      </c>
      <c r="I22" s="7" t="s">
        <v>3508</v>
      </c>
      <c r="J22" s="7" t="s">
        <v>3426</v>
      </c>
      <c r="K22" s="7"/>
      <c r="L22" s="11" t="str">
        <f>HYPERLINK("http://slimages.macys.com/is/image/MCY/8095477 ")</f>
        <v xml:space="preserve">http://slimages.macys.com/is/image/MCY/8095477 </v>
      </c>
    </row>
    <row r="23" spans="1:12" ht="39.950000000000003" customHeight="1" x14ac:dyDescent="0.25">
      <c r="A23" s="6" t="s">
        <v>3247</v>
      </c>
      <c r="B23" s="7" t="s">
        <v>3248</v>
      </c>
      <c r="C23" s="8">
        <v>1</v>
      </c>
      <c r="D23" s="9">
        <v>49.99</v>
      </c>
      <c r="E23" s="8" t="s">
        <v>3249</v>
      </c>
      <c r="F23" s="7" t="s">
        <v>3438</v>
      </c>
      <c r="G23" s="10"/>
      <c r="H23" s="7" t="s">
        <v>3688</v>
      </c>
      <c r="I23" s="7" t="s">
        <v>3871</v>
      </c>
      <c r="J23" s="7" t="s">
        <v>3426</v>
      </c>
      <c r="K23" s="7" t="s">
        <v>3518</v>
      </c>
      <c r="L23" s="11" t="str">
        <f>HYPERLINK("http://slimages.macys.com/is/image/MCY/3391532 ")</f>
        <v xml:space="preserve">http://slimages.macys.com/is/image/MCY/3391532 </v>
      </c>
    </row>
    <row r="24" spans="1:12" ht="39.950000000000003" customHeight="1" x14ac:dyDescent="0.25">
      <c r="A24" s="6" t="s">
        <v>3250</v>
      </c>
      <c r="B24" s="7" t="s">
        <v>3251</v>
      </c>
      <c r="C24" s="8">
        <v>1</v>
      </c>
      <c r="D24" s="9">
        <v>39.99</v>
      </c>
      <c r="E24" s="8" t="s">
        <v>3252</v>
      </c>
      <c r="F24" s="7" t="s">
        <v>3463</v>
      </c>
      <c r="G24" s="10"/>
      <c r="H24" s="7" t="s">
        <v>3424</v>
      </c>
      <c r="I24" s="7" t="s">
        <v>3253</v>
      </c>
      <c r="J24" s="7" t="s">
        <v>3426</v>
      </c>
      <c r="K24" s="7" t="s">
        <v>3518</v>
      </c>
      <c r="L24" s="11" t="str">
        <f>HYPERLINK("http://slimages.macys.com/is/image/MCY/13731799 ")</f>
        <v xml:space="preserve">http://slimages.macys.com/is/image/MCY/13731799 </v>
      </c>
    </row>
    <row r="25" spans="1:12" ht="39.950000000000003" customHeight="1" x14ac:dyDescent="0.25">
      <c r="A25" s="6" t="s">
        <v>3254</v>
      </c>
      <c r="B25" s="7" t="s">
        <v>3255</v>
      </c>
      <c r="C25" s="8">
        <v>1</v>
      </c>
      <c r="D25" s="9">
        <v>39.99</v>
      </c>
      <c r="E25" s="8">
        <v>22210238</v>
      </c>
      <c r="F25" s="7" t="s">
        <v>3445</v>
      </c>
      <c r="G25" s="10"/>
      <c r="H25" s="7" t="s">
        <v>3542</v>
      </c>
      <c r="I25" s="7" t="s">
        <v>3517</v>
      </c>
      <c r="J25" s="7"/>
      <c r="K25" s="7"/>
      <c r="L25" s="11" t="str">
        <f>HYPERLINK("http://slimages.macys.com/is/image/MCY/17177962 ")</f>
        <v xml:space="preserve">http://slimages.macys.com/is/image/MCY/17177962 </v>
      </c>
    </row>
    <row r="26" spans="1:12" ht="39.950000000000003" customHeight="1" x14ac:dyDescent="0.25">
      <c r="A26" s="6" t="s">
        <v>3256</v>
      </c>
      <c r="B26" s="7" t="s">
        <v>3257</v>
      </c>
      <c r="C26" s="8">
        <v>1</v>
      </c>
      <c r="D26" s="9">
        <v>79.989999999999995</v>
      </c>
      <c r="E26" s="8" t="s">
        <v>3258</v>
      </c>
      <c r="F26" s="7" t="s">
        <v>3477</v>
      </c>
      <c r="G26" s="10"/>
      <c r="H26" s="7" t="s">
        <v>3440</v>
      </c>
      <c r="I26" s="7" t="s">
        <v>3683</v>
      </c>
      <c r="J26" s="7" t="s">
        <v>3426</v>
      </c>
      <c r="K26" s="7" t="s">
        <v>3709</v>
      </c>
      <c r="L26" s="11" t="str">
        <f>HYPERLINK("http://slimages.macys.com/is/image/MCY/8036095 ")</f>
        <v xml:space="preserve">http://slimages.macys.com/is/image/MCY/8036095 </v>
      </c>
    </row>
    <row r="27" spans="1:12" ht="39.950000000000003" customHeight="1" x14ac:dyDescent="0.25">
      <c r="A27" s="6" t="s">
        <v>3259</v>
      </c>
      <c r="B27" s="7" t="s">
        <v>3260</v>
      </c>
      <c r="C27" s="8">
        <v>2</v>
      </c>
      <c r="D27" s="9">
        <v>75.98</v>
      </c>
      <c r="E27" s="8" t="s">
        <v>3261</v>
      </c>
      <c r="F27" s="7" t="s">
        <v>3588</v>
      </c>
      <c r="G27" s="10" t="s">
        <v>3489</v>
      </c>
      <c r="H27" s="7" t="s">
        <v>3583</v>
      </c>
      <c r="I27" s="7" t="s">
        <v>3262</v>
      </c>
      <c r="J27" s="7" t="s">
        <v>3601</v>
      </c>
      <c r="K27" s="7" t="s">
        <v>3518</v>
      </c>
      <c r="L27" s="11" t="str">
        <f>HYPERLINK("http://slimages.macys.com/is/image/MCY/15802542 ")</f>
        <v xml:space="preserve">http://slimages.macys.com/is/image/MCY/15802542 </v>
      </c>
    </row>
    <row r="28" spans="1:12" ht="39.950000000000003" customHeight="1" x14ac:dyDescent="0.25">
      <c r="A28" s="6" t="s">
        <v>3263</v>
      </c>
      <c r="B28" s="7" t="s">
        <v>3264</v>
      </c>
      <c r="C28" s="8">
        <v>1</v>
      </c>
      <c r="D28" s="9">
        <v>29.99</v>
      </c>
      <c r="E28" s="8" t="s">
        <v>3265</v>
      </c>
      <c r="F28" s="7" t="s">
        <v>3445</v>
      </c>
      <c r="G28" s="10"/>
      <c r="H28" s="7" t="s">
        <v>3452</v>
      </c>
      <c r="I28" s="7" t="s">
        <v>3834</v>
      </c>
      <c r="J28" s="7" t="s">
        <v>3426</v>
      </c>
      <c r="K28" s="7"/>
      <c r="L28" s="11" t="str">
        <f>HYPERLINK("http://slimages.macys.com/is/image/MCY/17754899 ")</f>
        <v xml:space="preserve">http://slimages.macys.com/is/image/MCY/17754899 </v>
      </c>
    </row>
    <row r="29" spans="1:12" ht="39.950000000000003" customHeight="1" x14ac:dyDescent="0.25">
      <c r="A29" s="6" t="s">
        <v>3266</v>
      </c>
      <c r="B29" s="7" t="s">
        <v>3267</v>
      </c>
      <c r="C29" s="8">
        <v>1</v>
      </c>
      <c r="D29" s="9">
        <v>47.99</v>
      </c>
      <c r="E29" s="8" t="s">
        <v>2894</v>
      </c>
      <c r="F29" s="7" t="s">
        <v>4047</v>
      </c>
      <c r="G29" s="10" t="s">
        <v>3439</v>
      </c>
      <c r="H29" s="7" t="s">
        <v>3676</v>
      </c>
      <c r="I29" s="7" t="s">
        <v>3677</v>
      </c>
      <c r="J29" s="7" t="s">
        <v>3426</v>
      </c>
      <c r="K29" s="7"/>
      <c r="L29" s="11" t="str">
        <f>HYPERLINK("http://slimages.macys.com/is/image/MCY/12327267 ")</f>
        <v xml:space="preserve">http://slimages.macys.com/is/image/MCY/12327267 </v>
      </c>
    </row>
    <row r="30" spans="1:12" ht="39.950000000000003" customHeight="1" x14ac:dyDescent="0.25">
      <c r="A30" s="6" t="s">
        <v>3268</v>
      </c>
      <c r="B30" s="7" t="s">
        <v>3269</v>
      </c>
      <c r="C30" s="8">
        <v>1</v>
      </c>
      <c r="D30" s="9">
        <v>79.989999999999995</v>
      </c>
      <c r="E30" s="8" t="s">
        <v>3270</v>
      </c>
      <c r="F30" s="7" t="s">
        <v>4096</v>
      </c>
      <c r="G30" s="10"/>
      <c r="H30" s="7" t="s">
        <v>3440</v>
      </c>
      <c r="I30" s="7" t="s">
        <v>3441</v>
      </c>
      <c r="J30" s="7" t="s">
        <v>3426</v>
      </c>
      <c r="K30" s="7"/>
      <c r="L30" s="11" t="str">
        <f>HYPERLINK("http://slimages.macys.com/is/image/MCY/11390192 ")</f>
        <v xml:space="preserve">http://slimages.macys.com/is/image/MCY/11390192 </v>
      </c>
    </row>
    <row r="31" spans="1:12" ht="39.950000000000003" customHeight="1" x14ac:dyDescent="0.25">
      <c r="A31" s="6" t="s">
        <v>3271</v>
      </c>
      <c r="B31" s="7" t="s">
        <v>3272</v>
      </c>
      <c r="C31" s="8">
        <v>1</v>
      </c>
      <c r="D31" s="9">
        <v>34.99</v>
      </c>
      <c r="E31" s="8" t="s">
        <v>3273</v>
      </c>
      <c r="F31" s="7" t="s">
        <v>3463</v>
      </c>
      <c r="G31" s="10"/>
      <c r="H31" s="7" t="s">
        <v>3452</v>
      </c>
      <c r="I31" s="7" t="s">
        <v>3453</v>
      </c>
      <c r="J31" s="7" t="s">
        <v>3426</v>
      </c>
      <c r="K31" s="7"/>
      <c r="L31" s="11" t="str">
        <f>HYPERLINK("http://slimages.macys.com/is/image/MCY/11320933 ")</f>
        <v xml:space="preserve">http://slimages.macys.com/is/image/MCY/11320933 </v>
      </c>
    </row>
    <row r="32" spans="1:12" ht="39.950000000000003" customHeight="1" x14ac:dyDescent="0.25">
      <c r="A32" s="6" t="s">
        <v>3274</v>
      </c>
      <c r="B32" s="7" t="s">
        <v>3275</v>
      </c>
      <c r="C32" s="8">
        <v>1</v>
      </c>
      <c r="D32" s="9">
        <v>39.99</v>
      </c>
      <c r="E32" s="8">
        <v>1003125200</v>
      </c>
      <c r="F32" s="7" t="s">
        <v>3484</v>
      </c>
      <c r="G32" s="10"/>
      <c r="H32" s="7" t="s">
        <v>3654</v>
      </c>
      <c r="I32" s="7" t="s">
        <v>3276</v>
      </c>
      <c r="J32" s="7" t="s">
        <v>3426</v>
      </c>
      <c r="K32" s="7" t="s">
        <v>3492</v>
      </c>
      <c r="L32" s="11" t="str">
        <f>HYPERLINK("http://slimages.macys.com/is/image/MCY/9836838 ")</f>
        <v xml:space="preserve">http://slimages.macys.com/is/image/MCY/9836838 </v>
      </c>
    </row>
    <row r="33" spans="1:12" ht="39.950000000000003" customHeight="1" x14ac:dyDescent="0.25">
      <c r="A33" s="6" t="s">
        <v>3277</v>
      </c>
      <c r="B33" s="7" t="s">
        <v>3278</v>
      </c>
      <c r="C33" s="8">
        <v>1</v>
      </c>
      <c r="D33" s="9">
        <v>39.99</v>
      </c>
      <c r="E33" s="8">
        <v>97003</v>
      </c>
      <c r="F33" s="7" t="s">
        <v>3445</v>
      </c>
      <c r="G33" s="10" t="s">
        <v>2503</v>
      </c>
      <c r="H33" s="7" t="s">
        <v>3525</v>
      </c>
      <c r="I33" s="7" t="s">
        <v>3279</v>
      </c>
      <c r="J33" s="7" t="s">
        <v>3564</v>
      </c>
      <c r="K33" s="7" t="s">
        <v>3709</v>
      </c>
      <c r="L33" s="11" t="str">
        <f>HYPERLINK("http://images.bloomingdales.com/is/image/BLM/9856852 ")</f>
        <v xml:space="preserve">http://images.bloomingdales.com/is/image/BLM/9856852 </v>
      </c>
    </row>
    <row r="34" spans="1:12" ht="39.950000000000003" customHeight="1" x14ac:dyDescent="0.25">
      <c r="A34" s="6" t="s">
        <v>3280</v>
      </c>
      <c r="B34" s="7" t="s">
        <v>3281</v>
      </c>
      <c r="C34" s="8">
        <v>1</v>
      </c>
      <c r="D34" s="9">
        <v>39.99</v>
      </c>
      <c r="E34" s="8" t="s">
        <v>3282</v>
      </c>
      <c r="F34" s="7" t="s">
        <v>3687</v>
      </c>
      <c r="G34" s="10"/>
      <c r="H34" s="7" t="s">
        <v>3572</v>
      </c>
      <c r="I34" s="7" t="s">
        <v>3573</v>
      </c>
      <c r="J34" s="7" t="s">
        <v>3426</v>
      </c>
      <c r="K34" s="7"/>
      <c r="L34" s="11" t="str">
        <f>HYPERLINK("http://slimages.macys.com/is/image/MCY/16476396 ")</f>
        <v xml:space="preserve">http://slimages.macys.com/is/image/MCY/16476396 </v>
      </c>
    </row>
    <row r="35" spans="1:12" ht="39.950000000000003" customHeight="1" x14ac:dyDescent="0.25">
      <c r="A35" s="6" t="s">
        <v>3283</v>
      </c>
      <c r="B35" s="7" t="s">
        <v>3284</v>
      </c>
      <c r="C35" s="8">
        <v>2</v>
      </c>
      <c r="D35" s="9">
        <v>59.98</v>
      </c>
      <c r="E35" s="8" t="s">
        <v>3285</v>
      </c>
      <c r="F35" s="7" t="s">
        <v>3286</v>
      </c>
      <c r="G35" s="10" t="s">
        <v>4156</v>
      </c>
      <c r="H35" s="7" t="s">
        <v>3490</v>
      </c>
      <c r="I35" s="7" t="s">
        <v>3553</v>
      </c>
      <c r="J35" s="7" t="s">
        <v>3426</v>
      </c>
      <c r="K35" s="7" t="s">
        <v>3287</v>
      </c>
      <c r="L35" s="11" t="str">
        <f>HYPERLINK("http://slimages.macys.com/is/image/MCY/10015460 ")</f>
        <v xml:space="preserve">http://slimages.macys.com/is/image/MCY/10015460 </v>
      </c>
    </row>
    <row r="36" spans="1:12" ht="39.950000000000003" customHeight="1" x14ac:dyDescent="0.25">
      <c r="A36" s="6" t="s">
        <v>3288</v>
      </c>
      <c r="B36" s="7" t="s">
        <v>3289</v>
      </c>
      <c r="C36" s="8">
        <v>2</v>
      </c>
      <c r="D36" s="9">
        <v>59.86</v>
      </c>
      <c r="E36" s="8" t="s">
        <v>3290</v>
      </c>
      <c r="F36" s="7" t="s">
        <v>3445</v>
      </c>
      <c r="G36" s="10"/>
      <c r="H36" s="7" t="s">
        <v>3525</v>
      </c>
      <c r="I36" s="7" t="s">
        <v>3704</v>
      </c>
      <c r="J36" s="7" t="s">
        <v>3426</v>
      </c>
      <c r="K36" s="7"/>
      <c r="L36" s="11" t="str">
        <f>HYPERLINK("http://slimages.macys.com/is/image/MCY/15780870 ")</f>
        <v xml:space="preserve">http://slimages.macys.com/is/image/MCY/15780870 </v>
      </c>
    </row>
    <row r="37" spans="1:12" ht="39.950000000000003" customHeight="1" x14ac:dyDescent="0.25">
      <c r="A37" s="6" t="s">
        <v>3291</v>
      </c>
      <c r="B37" s="7" t="s">
        <v>3292</v>
      </c>
      <c r="C37" s="8">
        <v>1</v>
      </c>
      <c r="D37" s="9">
        <v>34.99</v>
      </c>
      <c r="E37" s="8" t="s">
        <v>3293</v>
      </c>
      <c r="F37" s="7" t="s">
        <v>3511</v>
      </c>
      <c r="G37" s="10"/>
      <c r="H37" s="7" t="s">
        <v>3452</v>
      </c>
      <c r="I37" s="7" t="s">
        <v>3453</v>
      </c>
      <c r="J37" s="7" t="s">
        <v>3613</v>
      </c>
      <c r="K37" s="7" t="s">
        <v>3725</v>
      </c>
      <c r="L37" s="11" t="str">
        <f>HYPERLINK("http://slimages.macys.com/is/image/MCY/12290322 ")</f>
        <v xml:space="preserve">http://slimages.macys.com/is/image/MCY/12290322 </v>
      </c>
    </row>
    <row r="38" spans="1:12" ht="39.950000000000003" customHeight="1" x14ac:dyDescent="0.25">
      <c r="A38" s="6" t="s">
        <v>3294</v>
      </c>
      <c r="B38" s="7" t="s">
        <v>3295</v>
      </c>
      <c r="C38" s="8">
        <v>1</v>
      </c>
      <c r="D38" s="9">
        <v>34.99</v>
      </c>
      <c r="E38" s="8" t="s">
        <v>3296</v>
      </c>
      <c r="F38" s="7" t="s">
        <v>3445</v>
      </c>
      <c r="G38" s="10" t="s">
        <v>3547</v>
      </c>
      <c r="H38" s="7" t="s">
        <v>3525</v>
      </c>
      <c r="I38" s="7" t="s">
        <v>3548</v>
      </c>
      <c r="J38" s="7" t="s">
        <v>3426</v>
      </c>
      <c r="K38" s="7"/>
      <c r="L38" s="11" t="str">
        <f>HYPERLINK("http://slimages.macys.com/is/image/MCY/16904236 ")</f>
        <v xml:space="preserve">http://slimages.macys.com/is/image/MCY/16904236 </v>
      </c>
    </row>
    <row r="39" spans="1:12" ht="39.950000000000003" customHeight="1" x14ac:dyDescent="0.25">
      <c r="A39" s="6" t="s">
        <v>3161</v>
      </c>
      <c r="B39" s="7" t="s">
        <v>3162</v>
      </c>
      <c r="C39" s="8">
        <v>1</v>
      </c>
      <c r="D39" s="9">
        <v>29.99</v>
      </c>
      <c r="E39" s="8" t="s">
        <v>3163</v>
      </c>
      <c r="F39" s="7" t="s">
        <v>3610</v>
      </c>
      <c r="G39" s="10" t="s">
        <v>3773</v>
      </c>
      <c r="H39" s="7" t="s">
        <v>3525</v>
      </c>
      <c r="I39" s="7" t="s">
        <v>3612</v>
      </c>
      <c r="J39" s="7" t="s">
        <v>3613</v>
      </c>
      <c r="K39" s="7"/>
      <c r="L39" s="11" t="str">
        <f>HYPERLINK("http://slimages.macys.com/is/image/MCY/9526176 ")</f>
        <v xml:space="preserve">http://slimages.macys.com/is/image/MCY/9526176 </v>
      </c>
    </row>
    <row r="40" spans="1:12" ht="39.950000000000003" customHeight="1" x14ac:dyDescent="0.25">
      <c r="A40" s="6" t="s">
        <v>3297</v>
      </c>
      <c r="B40" s="7" t="s">
        <v>3298</v>
      </c>
      <c r="C40" s="8">
        <v>1</v>
      </c>
      <c r="D40" s="9">
        <v>29.99</v>
      </c>
      <c r="E40" s="8">
        <v>100107101</v>
      </c>
      <c r="F40" s="7" t="s">
        <v>3445</v>
      </c>
      <c r="G40" s="10" t="s">
        <v>3512</v>
      </c>
      <c r="H40" s="7" t="s">
        <v>3513</v>
      </c>
      <c r="I40" s="7" t="s">
        <v>4318</v>
      </c>
      <c r="J40" s="7"/>
      <c r="K40" s="7"/>
      <c r="L40" s="11" t="str">
        <f>HYPERLINK("http://slimages.macys.com/is/image/MCY/17792913 ")</f>
        <v xml:space="preserve">http://slimages.macys.com/is/image/MCY/17792913 </v>
      </c>
    </row>
    <row r="41" spans="1:12" ht="39.950000000000003" customHeight="1" x14ac:dyDescent="0.25">
      <c r="A41" s="6" t="s">
        <v>3299</v>
      </c>
      <c r="B41" s="7" t="s">
        <v>3300</v>
      </c>
      <c r="C41" s="8">
        <v>1</v>
      </c>
      <c r="D41" s="9">
        <v>34.99</v>
      </c>
      <c r="E41" s="8" t="s">
        <v>3301</v>
      </c>
      <c r="F41" s="7" t="s">
        <v>3445</v>
      </c>
      <c r="G41" s="10"/>
      <c r="H41" s="7" t="s">
        <v>3452</v>
      </c>
      <c r="I41" s="7" t="s">
        <v>3453</v>
      </c>
      <c r="J41" s="7" t="s">
        <v>3426</v>
      </c>
      <c r="K41" s="7"/>
      <c r="L41" s="11" t="str">
        <f>HYPERLINK("http://slimages.macys.com/is/image/MCY/15912154 ")</f>
        <v xml:space="preserve">http://slimages.macys.com/is/image/MCY/15912154 </v>
      </c>
    </row>
    <row r="42" spans="1:12" ht="39.950000000000003" customHeight="1" x14ac:dyDescent="0.25">
      <c r="A42" s="6" t="s">
        <v>2707</v>
      </c>
      <c r="B42" s="7" t="s">
        <v>2708</v>
      </c>
      <c r="C42" s="8">
        <v>2</v>
      </c>
      <c r="D42" s="9">
        <v>39.979999999999997</v>
      </c>
      <c r="E42" s="8" t="s">
        <v>2709</v>
      </c>
      <c r="F42" s="7" t="s">
        <v>2710</v>
      </c>
      <c r="G42" s="10" t="s">
        <v>3653</v>
      </c>
      <c r="H42" s="7" t="s">
        <v>3583</v>
      </c>
      <c r="I42" s="7" t="s">
        <v>4183</v>
      </c>
      <c r="J42" s="7" t="s">
        <v>3426</v>
      </c>
      <c r="K42" s="7" t="s">
        <v>3556</v>
      </c>
      <c r="L42" s="11" t="str">
        <f>HYPERLINK("http://slimages.macys.com/is/image/MCY/8900132 ")</f>
        <v xml:space="preserve">http://slimages.macys.com/is/image/MCY/8900132 </v>
      </c>
    </row>
    <row r="43" spans="1:12" ht="39.950000000000003" customHeight="1" x14ac:dyDescent="0.25">
      <c r="A43" s="6" t="s">
        <v>3302</v>
      </c>
      <c r="B43" s="7" t="s">
        <v>3303</v>
      </c>
      <c r="C43" s="8">
        <v>1</v>
      </c>
      <c r="D43" s="9">
        <v>19.989999999999998</v>
      </c>
      <c r="E43" s="8">
        <v>17625</v>
      </c>
      <c r="F43" s="7" t="s">
        <v>3610</v>
      </c>
      <c r="G43" s="10" t="s">
        <v>3489</v>
      </c>
      <c r="H43" s="7" t="s">
        <v>3559</v>
      </c>
      <c r="I43" s="7" t="s">
        <v>3304</v>
      </c>
      <c r="J43" s="7" t="s">
        <v>3549</v>
      </c>
      <c r="K43" s="7" t="s">
        <v>3305</v>
      </c>
      <c r="L43" s="11" t="str">
        <f>HYPERLINK("http://slimages.macys.com/is/image/MCY/1691211 ")</f>
        <v xml:space="preserve">http://slimages.macys.com/is/image/MCY/1691211 </v>
      </c>
    </row>
    <row r="44" spans="1:12" ht="39.950000000000003" customHeight="1" x14ac:dyDescent="0.25">
      <c r="A44" s="6" t="s">
        <v>3306</v>
      </c>
      <c r="B44" s="7" t="s">
        <v>3307</v>
      </c>
      <c r="C44" s="8">
        <v>1</v>
      </c>
      <c r="D44" s="9">
        <v>39.99</v>
      </c>
      <c r="E44" s="8" t="s">
        <v>3308</v>
      </c>
      <c r="F44" s="7" t="s">
        <v>3610</v>
      </c>
      <c r="G44" s="10"/>
      <c r="H44" s="7" t="s">
        <v>3452</v>
      </c>
      <c r="I44" s="7" t="s">
        <v>3453</v>
      </c>
      <c r="J44" s="7" t="s">
        <v>3426</v>
      </c>
      <c r="K44" s="7"/>
      <c r="L44" s="11" t="str">
        <f>HYPERLINK("http://slimages.macys.com/is/image/MCY/10047969 ")</f>
        <v xml:space="preserve">http://slimages.macys.com/is/image/MCY/10047969 </v>
      </c>
    </row>
    <row r="45" spans="1:12" ht="39.950000000000003" customHeight="1" x14ac:dyDescent="0.25">
      <c r="A45" s="6" t="s">
        <v>3309</v>
      </c>
      <c r="B45" s="7" t="s">
        <v>3310</v>
      </c>
      <c r="C45" s="8">
        <v>3</v>
      </c>
      <c r="D45" s="9">
        <v>59.97</v>
      </c>
      <c r="E45" s="8" t="s">
        <v>3311</v>
      </c>
      <c r="F45" s="7" t="s">
        <v>3445</v>
      </c>
      <c r="G45" s="10"/>
      <c r="H45" s="7" t="s">
        <v>3525</v>
      </c>
      <c r="I45" s="7" t="s">
        <v>3548</v>
      </c>
      <c r="J45" s="7" t="s">
        <v>3426</v>
      </c>
      <c r="K45" s="7"/>
      <c r="L45" s="11" t="str">
        <f>HYPERLINK("http://slimages.macys.com/is/image/MCY/15709914 ")</f>
        <v xml:space="preserve">http://slimages.macys.com/is/image/MCY/15709914 </v>
      </c>
    </row>
    <row r="46" spans="1:12" ht="39.950000000000003" customHeight="1" x14ac:dyDescent="0.25">
      <c r="A46" s="6" t="s">
        <v>3312</v>
      </c>
      <c r="B46" s="7" t="s">
        <v>3313</v>
      </c>
      <c r="C46" s="8">
        <v>1</v>
      </c>
      <c r="D46" s="9">
        <v>29.99</v>
      </c>
      <c r="E46" s="8" t="s">
        <v>3314</v>
      </c>
      <c r="F46" s="7" t="s">
        <v>3463</v>
      </c>
      <c r="G46" s="10"/>
      <c r="H46" s="7" t="s">
        <v>3452</v>
      </c>
      <c r="I46" s="7" t="s">
        <v>3453</v>
      </c>
      <c r="J46" s="7"/>
      <c r="K46" s="7"/>
      <c r="L46" s="11" t="str">
        <f>HYPERLINK("http://slimages.macys.com/is/image/MCY/17025636 ")</f>
        <v xml:space="preserve">http://slimages.macys.com/is/image/MCY/17025636 </v>
      </c>
    </row>
    <row r="47" spans="1:12" ht="39.950000000000003" customHeight="1" x14ac:dyDescent="0.25">
      <c r="A47" s="6" t="s">
        <v>2726</v>
      </c>
      <c r="B47" s="7" t="s">
        <v>2727</v>
      </c>
      <c r="C47" s="8">
        <v>1</v>
      </c>
      <c r="D47" s="9">
        <v>14.99</v>
      </c>
      <c r="E47" s="8" t="s">
        <v>2728</v>
      </c>
      <c r="F47" s="7" t="s">
        <v>3610</v>
      </c>
      <c r="G47" s="10"/>
      <c r="H47" s="7" t="s">
        <v>3525</v>
      </c>
      <c r="I47" s="7" t="s">
        <v>4179</v>
      </c>
      <c r="J47" s="7" t="s">
        <v>3564</v>
      </c>
      <c r="K47" s="7"/>
      <c r="L47" s="11" t="str">
        <f>HYPERLINK("http://slimages.macys.com/is/image/MCY/8644231 ")</f>
        <v xml:space="preserve">http://slimages.macys.com/is/image/MCY/8644231 </v>
      </c>
    </row>
    <row r="48" spans="1:12" ht="39.950000000000003" customHeight="1" x14ac:dyDescent="0.25">
      <c r="A48" s="6" t="s">
        <v>3315</v>
      </c>
      <c r="B48" s="7" t="s">
        <v>3316</v>
      </c>
      <c r="C48" s="8">
        <v>2</v>
      </c>
      <c r="D48" s="9">
        <v>33.979999999999997</v>
      </c>
      <c r="E48" s="8" t="s">
        <v>3317</v>
      </c>
      <c r="F48" s="7" t="s">
        <v>3132</v>
      </c>
      <c r="G48" s="10" t="s">
        <v>3653</v>
      </c>
      <c r="H48" s="7" t="s">
        <v>3654</v>
      </c>
      <c r="I48" s="7" t="s">
        <v>3655</v>
      </c>
      <c r="J48" s="7" t="s">
        <v>3426</v>
      </c>
      <c r="K48" s="7" t="s">
        <v>3492</v>
      </c>
      <c r="L48" s="11" t="str">
        <f>HYPERLINK("http://slimages.macys.com/is/image/MCY/12737864 ")</f>
        <v xml:space="preserve">http://slimages.macys.com/is/image/MCY/12737864 </v>
      </c>
    </row>
    <row r="49" spans="1:12" ht="39.950000000000003" customHeight="1" x14ac:dyDescent="0.25">
      <c r="A49" s="6" t="s">
        <v>3318</v>
      </c>
      <c r="B49" s="7" t="s">
        <v>3319</v>
      </c>
      <c r="C49" s="8">
        <v>1</v>
      </c>
      <c r="D49" s="9">
        <v>11.99</v>
      </c>
      <c r="E49" s="8" t="s">
        <v>3320</v>
      </c>
      <c r="F49" s="7" t="s">
        <v>3496</v>
      </c>
      <c r="G49" s="10"/>
      <c r="H49" s="7" t="s">
        <v>3583</v>
      </c>
      <c r="I49" s="7" t="s">
        <v>3553</v>
      </c>
      <c r="J49" s="7"/>
      <c r="K49" s="7"/>
      <c r="L49" s="11" t="str">
        <f>HYPERLINK("http://slimages.macys.com/is/image/MCY/17627778 ")</f>
        <v xml:space="preserve">http://slimages.macys.com/is/image/MCY/17627778 </v>
      </c>
    </row>
    <row r="50" spans="1:12" ht="39.950000000000003" customHeight="1" x14ac:dyDescent="0.25">
      <c r="A50" s="6" t="s">
        <v>3321</v>
      </c>
      <c r="B50" s="7" t="s">
        <v>3322</v>
      </c>
      <c r="C50" s="8">
        <v>1</v>
      </c>
      <c r="D50" s="9">
        <v>9.99</v>
      </c>
      <c r="E50" s="8" t="s">
        <v>3323</v>
      </c>
      <c r="F50" s="7" t="s">
        <v>3445</v>
      </c>
      <c r="G50" s="10" t="s">
        <v>2503</v>
      </c>
      <c r="H50" s="7" t="s">
        <v>3559</v>
      </c>
      <c r="I50" s="7" t="s">
        <v>3324</v>
      </c>
      <c r="J50" s="7" t="s">
        <v>3564</v>
      </c>
      <c r="K50" s="7" t="s">
        <v>3709</v>
      </c>
      <c r="L50" s="11" t="str">
        <f>HYPERLINK("http://slimages.macys.com/is/image/MCY/12741094 ")</f>
        <v xml:space="preserve">http://slimages.macys.com/is/image/MCY/12741094 </v>
      </c>
    </row>
    <row r="51" spans="1:12" ht="39.950000000000003" customHeight="1" x14ac:dyDescent="0.25">
      <c r="A51" s="6" t="s">
        <v>3325</v>
      </c>
      <c r="B51" s="7" t="s">
        <v>3326</v>
      </c>
      <c r="C51" s="8">
        <v>1</v>
      </c>
      <c r="D51" s="9">
        <v>3.99</v>
      </c>
      <c r="E51" s="8" t="s">
        <v>3327</v>
      </c>
      <c r="F51" s="7" t="s">
        <v>3733</v>
      </c>
      <c r="G51" s="10" t="s">
        <v>3653</v>
      </c>
      <c r="H51" s="7" t="s">
        <v>3635</v>
      </c>
      <c r="I51" s="7" t="s">
        <v>3517</v>
      </c>
      <c r="J51" s="7" t="s">
        <v>3426</v>
      </c>
      <c r="K51" s="7"/>
      <c r="L51" s="11" t="str">
        <f>HYPERLINK("http://slimages.macys.com/is/image/MCY/13909845 ")</f>
        <v xml:space="preserve">http://slimages.macys.com/is/image/MCY/13909845 </v>
      </c>
    </row>
    <row r="52" spans="1:12" ht="39.950000000000003" customHeight="1" x14ac:dyDescent="0.25">
      <c r="A52" s="6" t="s">
        <v>3186</v>
      </c>
      <c r="B52" s="7" t="s">
        <v>3187</v>
      </c>
      <c r="C52" s="8">
        <v>4</v>
      </c>
      <c r="D52" s="9">
        <v>330</v>
      </c>
      <c r="E52" s="8"/>
      <c r="F52" s="7" t="s">
        <v>3610</v>
      </c>
      <c r="G52" s="10" t="s">
        <v>3489</v>
      </c>
      <c r="H52" s="7" t="s">
        <v>3669</v>
      </c>
      <c r="I52" s="7" t="s">
        <v>3670</v>
      </c>
      <c r="J52" s="7"/>
      <c r="K52" s="7"/>
      <c r="L52" s="11"/>
    </row>
    <row r="53" spans="1:12" ht="39.950000000000003" customHeight="1" x14ac:dyDescent="0.25">
      <c r="A53" s="6" t="s">
        <v>3328</v>
      </c>
      <c r="B53" s="7" t="s">
        <v>3329</v>
      </c>
      <c r="C53" s="8">
        <v>1</v>
      </c>
      <c r="D53" s="9">
        <v>89.99</v>
      </c>
      <c r="E53" s="8" t="s">
        <v>3330</v>
      </c>
      <c r="F53" s="7" t="s">
        <v>3463</v>
      </c>
      <c r="G53" s="10"/>
      <c r="H53" s="7" t="s">
        <v>3490</v>
      </c>
      <c r="I53" s="7" t="s">
        <v>3553</v>
      </c>
      <c r="J53" s="7"/>
      <c r="K53" s="7"/>
      <c r="L53" s="11"/>
    </row>
    <row r="54" spans="1:12" ht="39.950000000000003" customHeight="1" x14ac:dyDescent="0.25">
      <c r="A54" s="6" t="s">
        <v>3667</v>
      </c>
      <c r="B54" s="7" t="s">
        <v>3668</v>
      </c>
      <c r="C54" s="8">
        <v>2</v>
      </c>
      <c r="D54" s="9">
        <v>80</v>
      </c>
      <c r="E54" s="8"/>
      <c r="F54" s="7" t="s">
        <v>3610</v>
      </c>
      <c r="G54" s="10" t="s">
        <v>3489</v>
      </c>
      <c r="H54" s="7" t="s">
        <v>3669</v>
      </c>
      <c r="I54" s="7" t="s">
        <v>3670</v>
      </c>
      <c r="J54" s="7"/>
      <c r="K54" s="7"/>
      <c r="L54" s="11"/>
    </row>
    <row r="55" spans="1:12" ht="39.950000000000003" customHeight="1" x14ac:dyDescent="0.25">
      <c r="A55" s="6" t="s">
        <v>3331</v>
      </c>
      <c r="B55" s="7" t="s">
        <v>3332</v>
      </c>
      <c r="C55" s="8">
        <v>2</v>
      </c>
      <c r="D55" s="9">
        <v>80</v>
      </c>
      <c r="E55" s="8">
        <v>813538024086</v>
      </c>
      <c r="F55" s="7" t="s">
        <v>3610</v>
      </c>
      <c r="G55" s="10" t="s">
        <v>3489</v>
      </c>
      <c r="H55" s="7" t="s">
        <v>3542</v>
      </c>
      <c r="I55" s="7" t="s">
        <v>4374</v>
      </c>
      <c r="J55" s="7"/>
      <c r="K55" s="7"/>
      <c r="L55" s="11"/>
    </row>
    <row r="56" spans="1:12" ht="39.950000000000003" customHeight="1" x14ac:dyDescent="0.25">
      <c r="A56" s="6" t="s">
        <v>3333</v>
      </c>
      <c r="B56" s="7" t="s">
        <v>3183</v>
      </c>
      <c r="C56" s="8">
        <v>1</v>
      </c>
      <c r="D56" s="9">
        <v>12.99</v>
      </c>
      <c r="E56" s="8" t="s">
        <v>3334</v>
      </c>
      <c r="F56" s="7" t="s">
        <v>3674</v>
      </c>
      <c r="G56" s="10" t="s">
        <v>4360</v>
      </c>
      <c r="H56" s="7" t="s">
        <v>3635</v>
      </c>
      <c r="I56" s="7" t="s">
        <v>4326</v>
      </c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3335</v>
      </c>
      <c r="B2" s="7" t="s">
        <v>3336</v>
      </c>
      <c r="C2" s="8">
        <v>1</v>
      </c>
      <c r="D2" s="9">
        <v>439.99</v>
      </c>
      <c r="E2" s="8" t="s">
        <v>3337</v>
      </c>
      <c r="F2" s="7" t="s">
        <v>3445</v>
      </c>
      <c r="G2" s="10" t="s">
        <v>3439</v>
      </c>
      <c r="H2" s="7" t="s">
        <v>3676</v>
      </c>
      <c r="I2" s="7" t="s">
        <v>3704</v>
      </c>
      <c r="J2" s="7" t="s">
        <v>3426</v>
      </c>
      <c r="K2" s="7" t="s">
        <v>2596</v>
      </c>
      <c r="L2" s="11" t="str">
        <f>HYPERLINK("http://slimages.macys.com/is/image/MCY/3974565 ")</f>
        <v xml:space="preserve">http://slimages.macys.com/is/image/MCY/3974565 </v>
      </c>
    </row>
    <row r="3" spans="1:12" ht="39.950000000000003" customHeight="1" x14ac:dyDescent="0.25">
      <c r="A3" s="6" t="s">
        <v>3338</v>
      </c>
      <c r="B3" s="7" t="s">
        <v>3339</v>
      </c>
      <c r="C3" s="8">
        <v>1</v>
      </c>
      <c r="D3" s="9">
        <v>228.99</v>
      </c>
      <c r="E3" s="8" t="s">
        <v>3340</v>
      </c>
      <c r="F3" s="7" t="s">
        <v>3445</v>
      </c>
      <c r="G3" s="10" t="s">
        <v>3773</v>
      </c>
      <c r="H3" s="7" t="s">
        <v>3559</v>
      </c>
      <c r="I3" s="7" t="s">
        <v>4194</v>
      </c>
      <c r="J3" s="7" t="s">
        <v>3426</v>
      </c>
      <c r="K3" s="7"/>
      <c r="L3" s="11" t="str">
        <f>HYPERLINK("http://slimages.macys.com/is/image/MCY/11625172 ")</f>
        <v xml:space="preserve">http://slimages.macys.com/is/image/MCY/11625172 </v>
      </c>
    </row>
    <row r="4" spans="1:12" ht="39.950000000000003" customHeight="1" x14ac:dyDescent="0.25">
      <c r="A4" s="6" t="s">
        <v>3341</v>
      </c>
      <c r="B4" s="7" t="s">
        <v>3342</v>
      </c>
      <c r="C4" s="8">
        <v>1</v>
      </c>
      <c r="D4" s="9">
        <v>199.99</v>
      </c>
      <c r="E4" s="8">
        <v>61533</v>
      </c>
      <c r="F4" s="7" t="s">
        <v>3445</v>
      </c>
      <c r="G4" s="10"/>
      <c r="H4" s="7" t="s">
        <v>3559</v>
      </c>
      <c r="I4" s="7" t="s">
        <v>3560</v>
      </c>
      <c r="J4" s="7" t="s">
        <v>3426</v>
      </c>
      <c r="K4" s="7" t="s">
        <v>3518</v>
      </c>
      <c r="L4" s="11" t="str">
        <f>HYPERLINK("http://slimages.macys.com/is/image/MCY/15866377 ")</f>
        <v xml:space="preserve">http://slimages.macys.com/is/image/MCY/15866377 </v>
      </c>
    </row>
    <row r="5" spans="1:12" ht="39.950000000000003" customHeight="1" x14ac:dyDescent="0.25">
      <c r="A5" s="6" t="s">
        <v>4424</v>
      </c>
      <c r="B5" s="7" t="s">
        <v>4425</v>
      </c>
      <c r="C5" s="8">
        <v>1</v>
      </c>
      <c r="D5" s="9">
        <v>249.99</v>
      </c>
      <c r="E5" s="8" t="s">
        <v>4426</v>
      </c>
      <c r="F5" s="7" t="s">
        <v>3438</v>
      </c>
      <c r="G5" s="10"/>
      <c r="H5" s="7" t="s">
        <v>3440</v>
      </c>
      <c r="I5" s="7" t="s">
        <v>3683</v>
      </c>
      <c r="J5" s="7" t="s">
        <v>3426</v>
      </c>
      <c r="K5" s="7"/>
      <c r="L5" s="11" t="str">
        <f>HYPERLINK("http://slimages.macys.com/is/image/MCY/8453058 ")</f>
        <v xml:space="preserve">http://slimages.macys.com/is/image/MCY/8453058 </v>
      </c>
    </row>
    <row r="6" spans="1:12" ht="39.950000000000003" customHeight="1" x14ac:dyDescent="0.25">
      <c r="A6" s="6" t="s">
        <v>3343</v>
      </c>
      <c r="B6" s="7" t="s">
        <v>3344</v>
      </c>
      <c r="C6" s="8">
        <v>1</v>
      </c>
      <c r="D6" s="9">
        <v>179.99</v>
      </c>
      <c r="E6" s="8" t="s">
        <v>3345</v>
      </c>
      <c r="F6" s="7" t="s">
        <v>3541</v>
      </c>
      <c r="G6" s="10"/>
      <c r="H6" s="7" t="s">
        <v>3478</v>
      </c>
      <c r="I6" s="7" t="s">
        <v>4113</v>
      </c>
      <c r="J6" s="7" t="s">
        <v>3426</v>
      </c>
      <c r="K6" s="7" t="s">
        <v>3592</v>
      </c>
      <c r="L6" s="11" t="str">
        <f>HYPERLINK("http://slimages.macys.com/is/image/MCY/9500521 ")</f>
        <v xml:space="preserve">http://slimages.macys.com/is/image/MCY/9500521 </v>
      </c>
    </row>
    <row r="7" spans="1:12" ht="39.950000000000003" customHeight="1" x14ac:dyDescent="0.25">
      <c r="A7" s="6" t="s">
        <v>3346</v>
      </c>
      <c r="B7" s="7" t="s">
        <v>3347</v>
      </c>
      <c r="C7" s="8">
        <v>1</v>
      </c>
      <c r="D7" s="9">
        <v>179.99</v>
      </c>
      <c r="E7" s="8">
        <v>80801</v>
      </c>
      <c r="F7" s="7" t="s">
        <v>4022</v>
      </c>
      <c r="G7" s="10"/>
      <c r="H7" s="7" t="s">
        <v>3478</v>
      </c>
      <c r="I7" s="7" t="s">
        <v>3479</v>
      </c>
      <c r="J7" s="7" t="s">
        <v>3426</v>
      </c>
      <c r="K7" s="7" t="s">
        <v>3197</v>
      </c>
      <c r="L7" s="11" t="str">
        <f>HYPERLINK("http://slimages.macys.com/is/image/MCY/12245311 ")</f>
        <v xml:space="preserve">http://slimages.macys.com/is/image/MCY/12245311 </v>
      </c>
    </row>
    <row r="8" spans="1:12" ht="39.950000000000003" customHeight="1" x14ac:dyDescent="0.25">
      <c r="A8" s="6" t="s">
        <v>3348</v>
      </c>
      <c r="B8" s="7" t="s">
        <v>3349</v>
      </c>
      <c r="C8" s="8">
        <v>1</v>
      </c>
      <c r="D8" s="9">
        <v>179.99</v>
      </c>
      <c r="E8" s="8">
        <v>22326322</v>
      </c>
      <c r="F8" s="7" t="s">
        <v>3496</v>
      </c>
      <c r="G8" s="10"/>
      <c r="H8" s="7" t="s">
        <v>3478</v>
      </c>
      <c r="I8" s="7" t="s">
        <v>3517</v>
      </c>
      <c r="J8" s="7" t="s">
        <v>3426</v>
      </c>
      <c r="K8" s="7" t="s">
        <v>3811</v>
      </c>
      <c r="L8" s="11" t="str">
        <f>HYPERLINK("http://slimages.macys.com/is/image/MCY/16688602 ")</f>
        <v xml:space="preserve">http://slimages.macys.com/is/image/MCY/16688602 </v>
      </c>
    </row>
    <row r="9" spans="1:12" ht="39.950000000000003" customHeight="1" x14ac:dyDescent="0.25">
      <c r="A9" s="6" t="s">
        <v>4261</v>
      </c>
      <c r="B9" s="7" t="s">
        <v>4262</v>
      </c>
      <c r="C9" s="8">
        <v>1</v>
      </c>
      <c r="D9" s="9">
        <v>149.99</v>
      </c>
      <c r="E9" s="8" t="s">
        <v>4263</v>
      </c>
      <c r="F9" s="7" t="s">
        <v>3445</v>
      </c>
      <c r="G9" s="10"/>
      <c r="H9" s="7" t="s">
        <v>3676</v>
      </c>
      <c r="I9" s="7" t="s">
        <v>3548</v>
      </c>
      <c r="J9" s="7" t="s">
        <v>3564</v>
      </c>
      <c r="K9" s="7" t="s">
        <v>3879</v>
      </c>
      <c r="L9" s="11" t="str">
        <f>HYPERLINK("http://slimages.macys.com/is/image/MCY/3962569 ")</f>
        <v xml:space="preserve">http://slimages.macys.com/is/image/MCY/3962569 </v>
      </c>
    </row>
    <row r="10" spans="1:12" ht="39.950000000000003" customHeight="1" x14ac:dyDescent="0.25">
      <c r="A10" s="6" t="s">
        <v>3350</v>
      </c>
      <c r="B10" s="7" t="s">
        <v>3351</v>
      </c>
      <c r="C10" s="8">
        <v>1</v>
      </c>
      <c r="D10" s="9">
        <v>119.99</v>
      </c>
      <c r="E10" s="8" t="s">
        <v>3352</v>
      </c>
      <c r="F10" s="7" t="s">
        <v>3445</v>
      </c>
      <c r="G10" s="10"/>
      <c r="H10" s="7" t="s">
        <v>3542</v>
      </c>
      <c r="I10" s="7" t="s">
        <v>3353</v>
      </c>
      <c r="J10" s="7" t="s">
        <v>3426</v>
      </c>
      <c r="K10" s="7" t="s">
        <v>3354</v>
      </c>
      <c r="L10" s="11" t="str">
        <f>HYPERLINK("http://slimages.macys.com/is/image/MCY/14830826 ")</f>
        <v xml:space="preserve">http://slimages.macys.com/is/image/MCY/14830826 </v>
      </c>
    </row>
    <row r="11" spans="1:12" ht="39.950000000000003" customHeight="1" x14ac:dyDescent="0.25">
      <c r="A11" s="6" t="s">
        <v>3355</v>
      </c>
      <c r="B11" s="7" t="s">
        <v>3356</v>
      </c>
      <c r="C11" s="8">
        <v>1</v>
      </c>
      <c r="D11" s="9">
        <v>169.99</v>
      </c>
      <c r="E11" s="8" t="s">
        <v>3357</v>
      </c>
      <c r="F11" s="7" t="s">
        <v>3463</v>
      </c>
      <c r="G11" s="10"/>
      <c r="H11" s="7" t="s">
        <v>3452</v>
      </c>
      <c r="I11" s="7" t="s">
        <v>3453</v>
      </c>
      <c r="J11" s="7"/>
      <c r="K11" s="7"/>
      <c r="L11" s="11" t="str">
        <f>HYPERLINK("http://slimages.macys.com/is/image/MCY/16633340 ")</f>
        <v xml:space="preserve">http://slimages.macys.com/is/image/MCY/16633340 </v>
      </c>
    </row>
    <row r="12" spans="1:12" ht="39.950000000000003" customHeight="1" x14ac:dyDescent="0.25">
      <c r="A12" s="6" t="s">
        <v>3358</v>
      </c>
      <c r="B12" s="7" t="s">
        <v>3359</v>
      </c>
      <c r="C12" s="8">
        <v>1</v>
      </c>
      <c r="D12" s="9">
        <v>119.99</v>
      </c>
      <c r="E12" s="8" t="s">
        <v>3360</v>
      </c>
      <c r="F12" s="7" t="s">
        <v>3748</v>
      </c>
      <c r="G12" s="10"/>
      <c r="H12" s="7" t="s">
        <v>3452</v>
      </c>
      <c r="I12" s="7" t="s">
        <v>3453</v>
      </c>
      <c r="J12" s="7" t="s">
        <v>3426</v>
      </c>
      <c r="K12" s="7"/>
      <c r="L12" s="11" t="str">
        <f>HYPERLINK("http://slimages.macys.com/is/image/MCY/15176081 ")</f>
        <v xml:space="preserve">http://slimages.macys.com/is/image/MCY/15176081 </v>
      </c>
    </row>
    <row r="13" spans="1:12" ht="39.950000000000003" customHeight="1" x14ac:dyDescent="0.25">
      <c r="A13" s="6" t="s">
        <v>3361</v>
      </c>
      <c r="B13" s="7" t="s">
        <v>3362</v>
      </c>
      <c r="C13" s="8">
        <v>1</v>
      </c>
      <c r="D13" s="9">
        <v>99.99</v>
      </c>
      <c r="E13" s="8" t="s">
        <v>3363</v>
      </c>
      <c r="F13" s="7" t="s">
        <v>3364</v>
      </c>
      <c r="G13" s="10"/>
      <c r="H13" s="7" t="s">
        <v>3432</v>
      </c>
      <c r="I13" s="7" t="s">
        <v>4277</v>
      </c>
      <c r="J13" s="7" t="s">
        <v>3426</v>
      </c>
      <c r="K13" s="7" t="s">
        <v>3518</v>
      </c>
      <c r="L13" s="11" t="str">
        <f>HYPERLINK("http://slimages.macys.com/is/image/MCY/3819330 ")</f>
        <v xml:space="preserve">http://slimages.macys.com/is/image/MCY/3819330 </v>
      </c>
    </row>
    <row r="14" spans="1:12" ht="39.950000000000003" customHeight="1" x14ac:dyDescent="0.25">
      <c r="A14" s="6" t="s">
        <v>3365</v>
      </c>
      <c r="B14" s="7" t="s">
        <v>3366</v>
      </c>
      <c r="C14" s="8">
        <v>1</v>
      </c>
      <c r="D14" s="9">
        <v>119.99</v>
      </c>
      <c r="E14" s="8" t="s">
        <v>3367</v>
      </c>
      <c r="F14" s="7" t="s">
        <v>3477</v>
      </c>
      <c r="G14" s="10"/>
      <c r="H14" s="7" t="s">
        <v>3458</v>
      </c>
      <c r="I14" s="7" t="s">
        <v>3459</v>
      </c>
      <c r="J14" s="7" t="s">
        <v>3426</v>
      </c>
      <c r="K14" s="7" t="s">
        <v>3485</v>
      </c>
      <c r="L14" s="11" t="str">
        <f>HYPERLINK("http://slimages.macys.com/is/image/MCY/8456177 ")</f>
        <v xml:space="preserve">http://slimages.macys.com/is/image/MCY/8456177 </v>
      </c>
    </row>
    <row r="15" spans="1:12" ht="39.950000000000003" customHeight="1" x14ac:dyDescent="0.25">
      <c r="A15" s="6" t="s">
        <v>3368</v>
      </c>
      <c r="B15" s="7" t="s">
        <v>3369</v>
      </c>
      <c r="C15" s="8">
        <v>1</v>
      </c>
      <c r="D15" s="9">
        <v>64.989999999999995</v>
      </c>
      <c r="E15" s="8" t="s">
        <v>3370</v>
      </c>
      <c r="F15" s="7" t="s">
        <v>3423</v>
      </c>
      <c r="G15" s="10" t="s">
        <v>3653</v>
      </c>
      <c r="H15" s="7" t="s">
        <v>3635</v>
      </c>
      <c r="I15" s="7" t="s">
        <v>3553</v>
      </c>
      <c r="J15" s="7" t="s">
        <v>3426</v>
      </c>
      <c r="K15" s="7" t="s">
        <v>3371</v>
      </c>
      <c r="L15" s="11" t="str">
        <f>HYPERLINK("http://slimages.macys.com/is/image/MCY/8511552 ")</f>
        <v xml:space="preserve">http://slimages.macys.com/is/image/MCY/8511552 </v>
      </c>
    </row>
    <row r="16" spans="1:12" ht="39.950000000000003" customHeight="1" x14ac:dyDescent="0.25">
      <c r="A16" s="6" t="s">
        <v>3372</v>
      </c>
      <c r="B16" s="7" t="s">
        <v>3373</v>
      </c>
      <c r="C16" s="8">
        <v>1</v>
      </c>
      <c r="D16" s="9">
        <v>59.99</v>
      </c>
      <c r="E16" s="8" t="s">
        <v>3374</v>
      </c>
      <c r="F16" s="7" t="s">
        <v>3504</v>
      </c>
      <c r="G16" s="10"/>
      <c r="H16" s="7" t="s">
        <v>3542</v>
      </c>
      <c r="I16" s="7" t="s">
        <v>4234</v>
      </c>
      <c r="J16" s="7" t="s">
        <v>3426</v>
      </c>
      <c r="K16" s="7" t="s">
        <v>3447</v>
      </c>
      <c r="L16" s="11" t="str">
        <f>HYPERLINK("http://slimages.macys.com/is/image/MCY/13036438 ")</f>
        <v xml:space="preserve">http://slimages.macys.com/is/image/MCY/13036438 </v>
      </c>
    </row>
    <row r="17" spans="1:12" ht="39.950000000000003" customHeight="1" x14ac:dyDescent="0.25">
      <c r="A17" s="6" t="s">
        <v>3375</v>
      </c>
      <c r="B17" s="7" t="s">
        <v>3376</v>
      </c>
      <c r="C17" s="8">
        <v>1</v>
      </c>
      <c r="D17" s="9">
        <v>59.99</v>
      </c>
      <c r="E17" s="8" t="s">
        <v>3377</v>
      </c>
      <c r="F17" s="7" t="s">
        <v>3445</v>
      </c>
      <c r="G17" s="10"/>
      <c r="H17" s="7" t="s">
        <v>3542</v>
      </c>
      <c r="I17" s="7" t="s">
        <v>4234</v>
      </c>
      <c r="J17" s="7" t="s">
        <v>3426</v>
      </c>
      <c r="K17" s="7" t="s">
        <v>3447</v>
      </c>
      <c r="L17" s="11" t="str">
        <f>HYPERLINK("http://slimages.macys.com/is/image/MCY/13036438 ")</f>
        <v xml:space="preserve">http://slimages.macys.com/is/image/MCY/13036438 </v>
      </c>
    </row>
    <row r="18" spans="1:12" ht="39.950000000000003" customHeight="1" x14ac:dyDescent="0.25">
      <c r="A18" s="6" t="s">
        <v>3378</v>
      </c>
      <c r="B18" s="7" t="s">
        <v>3379</v>
      </c>
      <c r="C18" s="8">
        <v>1</v>
      </c>
      <c r="D18" s="9">
        <v>69.989999999999995</v>
      </c>
      <c r="E18" s="8" t="s">
        <v>3380</v>
      </c>
      <c r="F18" s="7" t="s">
        <v>4015</v>
      </c>
      <c r="G18" s="10"/>
      <c r="H18" s="7" t="s">
        <v>3490</v>
      </c>
      <c r="I18" s="7" t="s">
        <v>4008</v>
      </c>
      <c r="J18" s="7"/>
      <c r="K18" s="7"/>
      <c r="L18" s="11" t="str">
        <f>HYPERLINK("http://slimages.macys.com/is/image/MCY/17639455 ")</f>
        <v xml:space="preserve">http://slimages.macys.com/is/image/MCY/17639455 </v>
      </c>
    </row>
    <row r="19" spans="1:12" ht="39.950000000000003" customHeight="1" x14ac:dyDescent="0.25">
      <c r="A19" s="6" t="s">
        <v>3381</v>
      </c>
      <c r="B19" s="7" t="s">
        <v>3382</v>
      </c>
      <c r="C19" s="8">
        <v>1</v>
      </c>
      <c r="D19" s="9">
        <v>69.989999999999995</v>
      </c>
      <c r="E19" s="8" t="s">
        <v>4303</v>
      </c>
      <c r="F19" s="7" t="s">
        <v>3748</v>
      </c>
      <c r="G19" s="10"/>
      <c r="H19" s="7" t="s">
        <v>3452</v>
      </c>
      <c r="I19" s="7" t="s">
        <v>3834</v>
      </c>
      <c r="J19" s="7" t="s">
        <v>3426</v>
      </c>
      <c r="K19" s="7" t="s">
        <v>3556</v>
      </c>
      <c r="L19" s="11" t="str">
        <f>HYPERLINK("http://slimages.macys.com/is/image/MCY/9940182 ")</f>
        <v xml:space="preserve">http://slimages.macys.com/is/image/MCY/9940182 </v>
      </c>
    </row>
    <row r="20" spans="1:12" ht="39.950000000000003" customHeight="1" x14ac:dyDescent="0.25">
      <c r="A20" s="6" t="s">
        <v>3383</v>
      </c>
      <c r="B20" s="7" t="s">
        <v>3384</v>
      </c>
      <c r="C20" s="8">
        <v>1</v>
      </c>
      <c r="D20" s="9">
        <v>49.99</v>
      </c>
      <c r="E20" s="8">
        <v>21457322</v>
      </c>
      <c r="F20" s="7" t="s">
        <v>3463</v>
      </c>
      <c r="G20" s="10"/>
      <c r="H20" s="7" t="s">
        <v>3478</v>
      </c>
      <c r="I20" s="7" t="s">
        <v>3517</v>
      </c>
      <c r="J20" s="7" t="s">
        <v>3426</v>
      </c>
      <c r="K20" s="7" t="s">
        <v>3518</v>
      </c>
      <c r="L20" s="11" t="str">
        <f>HYPERLINK("http://slimages.macys.com/is/image/MCY/14634045 ")</f>
        <v xml:space="preserve">http://slimages.macys.com/is/image/MCY/14634045 </v>
      </c>
    </row>
    <row r="21" spans="1:12" ht="39.950000000000003" customHeight="1" x14ac:dyDescent="0.25">
      <c r="A21" s="6" t="s">
        <v>3385</v>
      </c>
      <c r="B21" s="7" t="s">
        <v>3386</v>
      </c>
      <c r="C21" s="8">
        <v>1</v>
      </c>
      <c r="D21" s="9">
        <v>42.99</v>
      </c>
      <c r="E21" s="8" t="s">
        <v>3387</v>
      </c>
      <c r="F21" s="7" t="s">
        <v>4096</v>
      </c>
      <c r="G21" s="10"/>
      <c r="H21" s="7" t="s">
        <v>3542</v>
      </c>
      <c r="I21" s="7" t="s">
        <v>4374</v>
      </c>
      <c r="J21" s="7" t="s">
        <v>3426</v>
      </c>
      <c r="K21" s="7" t="s">
        <v>4300</v>
      </c>
      <c r="L21" s="11" t="str">
        <f>HYPERLINK("http://slimages.macys.com/is/image/MCY/10682328 ")</f>
        <v xml:space="preserve">http://slimages.macys.com/is/image/MCY/10682328 </v>
      </c>
    </row>
    <row r="22" spans="1:12" ht="39.950000000000003" customHeight="1" x14ac:dyDescent="0.25">
      <c r="A22" s="6" t="s">
        <v>3388</v>
      </c>
      <c r="B22" s="7" t="s">
        <v>3389</v>
      </c>
      <c r="C22" s="8">
        <v>1</v>
      </c>
      <c r="D22" s="9">
        <v>39.99</v>
      </c>
      <c r="E22" s="8" t="s">
        <v>3390</v>
      </c>
      <c r="F22" s="7" t="s">
        <v>3431</v>
      </c>
      <c r="G22" s="10" t="s">
        <v>3391</v>
      </c>
      <c r="H22" s="7" t="s">
        <v>3478</v>
      </c>
      <c r="I22" s="7" t="s">
        <v>3392</v>
      </c>
      <c r="J22" s="7" t="s">
        <v>3426</v>
      </c>
      <c r="K22" s="7" t="s">
        <v>3393</v>
      </c>
      <c r="L22" s="11" t="str">
        <f>HYPERLINK("http://slimages.macys.com/is/image/MCY/13845292 ")</f>
        <v xml:space="preserve">http://slimages.macys.com/is/image/MCY/13845292 </v>
      </c>
    </row>
    <row r="23" spans="1:12" ht="39.950000000000003" customHeight="1" x14ac:dyDescent="0.25">
      <c r="A23" s="6" t="s">
        <v>3394</v>
      </c>
      <c r="B23" s="7" t="s">
        <v>3395</v>
      </c>
      <c r="C23" s="8">
        <v>1</v>
      </c>
      <c r="D23" s="9">
        <v>29.99</v>
      </c>
      <c r="E23" s="8" t="s">
        <v>3396</v>
      </c>
      <c r="F23" s="7" t="s">
        <v>3610</v>
      </c>
      <c r="G23" s="10" t="s">
        <v>3489</v>
      </c>
      <c r="H23" s="7" t="s">
        <v>3583</v>
      </c>
      <c r="I23" s="7" t="s">
        <v>3824</v>
      </c>
      <c r="J23" s="7" t="s">
        <v>3426</v>
      </c>
      <c r="K23" s="7" t="s">
        <v>3397</v>
      </c>
      <c r="L23" s="11" t="str">
        <f>HYPERLINK("http://slimages.macys.com/is/image/MCY/2390185 ")</f>
        <v xml:space="preserve">http://slimages.macys.com/is/image/MCY/2390185 </v>
      </c>
    </row>
    <row r="24" spans="1:12" ht="39.950000000000003" customHeight="1" x14ac:dyDescent="0.25">
      <c r="A24" s="6" t="s">
        <v>3398</v>
      </c>
      <c r="B24" s="7" t="s">
        <v>3399</v>
      </c>
      <c r="C24" s="8">
        <v>1</v>
      </c>
      <c r="D24" s="9">
        <v>35.99</v>
      </c>
      <c r="E24" s="8" t="s">
        <v>3400</v>
      </c>
      <c r="F24" s="7" t="s">
        <v>3431</v>
      </c>
      <c r="G24" s="10"/>
      <c r="H24" s="7" t="s">
        <v>3542</v>
      </c>
      <c r="I24" s="7" t="s">
        <v>4374</v>
      </c>
      <c r="J24" s="7" t="s">
        <v>3426</v>
      </c>
      <c r="K24" s="7" t="s">
        <v>4300</v>
      </c>
      <c r="L24" s="11" t="str">
        <f>HYPERLINK("http://slimages.macys.com/is/image/MCY/10682862 ")</f>
        <v xml:space="preserve">http://slimages.macys.com/is/image/MCY/10682862 </v>
      </c>
    </row>
    <row r="25" spans="1:12" ht="39.950000000000003" customHeight="1" x14ac:dyDescent="0.25">
      <c r="A25" s="6" t="s">
        <v>3136</v>
      </c>
      <c r="B25" s="7" t="s">
        <v>3137</v>
      </c>
      <c r="C25" s="8">
        <v>1</v>
      </c>
      <c r="D25" s="9">
        <v>39.99</v>
      </c>
      <c r="E25" s="8">
        <v>130119</v>
      </c>
      <c r="F25" s="7" t="s">
        <v>3445</v>
      </c>
      <c r="G25" s="10" t="s">
        <v>3439</v>
      </c>
      <c r="H25" s="7" t="s">
        <v>2471</v>
      </c>
      <c r="I25" s="7" t="s">
        <v>2575</v>
      </c>
      <c r="J25" s="7" t="s">
        <v>3426</v>
      </c>
      <c r="K25" s="7" t="s">
        <v>3135</v>
      </c>
      <c r="L25" s="11" t="str">
        <f>HYPERLINK("http://slimages.macys.com/is/image/MCY/3895749 ")</f>
        <v xml:space="preserve">http://slimages.macys.com/is/image/MCY/3895749 </v>
      </c>
    </row>
    <row r="26" spans="1:12" ht="39.950000000000003" customHeight="1" x14ac:dyDescent="0.25">
      <c r="A26" s="6" t="s">
        <v>3401</v>
      </c>
      <c r="B26" s="7" t="s">
        <v>3402</v>
      </c>
      <c r="C26" s="8">
        <v>1</v>
      </c>
      <c r="D26" s="9">
        <v>34.99</v>
      </c>
      <c r="E26" s="8" t="s">
        <v>3403</v>
      </c>
      <c r="F26" s="7" t="s">
        <v>3716</v>
      </c>
      <c r="G26" s="10" t="s">
        <v>3512</v>
      </c>
      <c r="H26" s="7" t="s">
        <v>3490</v>
      </c>
      <c r="I26" s="7" t="s">
        <v>3741</v>
      </c>
      <c r="J26" s="7" t="s">
        <v>3426</v>
      </c>
      <c r="K26" s="7"/>
      <c r="L26" s="11" t="str">
        <f>HYPERLINK("http://slimages.macys.com/is/image/MCY/14375176 ")</f>
        <v xml:space="preserve">http://slimages.macys.com/is/image/MCY/14375176 </v>
      </c>
    </row>
    <row r="27" spans="1:12" ht="39.950000000000003" customHeight="1" x14ac:dyDescent="0.25">
      <c r="A27" s="6" t="s">
        <v>3404</v>
      </c>
      <c r="B27" s="7" t="s">
        <v>3405</v>
      </c>
      <c r="C27" s="8">
        <v>1</v>
      </c>
      <c r="D27" s="9">
        <v>29.99</v>
      </c>
      <c r="E27" s="8" t="s">
        <v>1462</v>
      </c>
      <c r="F27" s="7"/>
      <c r="G27" s="10"/>
      <c r="H27" s="7" t="s">
        <v>3490</v>
      </c>
      <c r="I27" s="7" t="s">
        <v>3805</v>
      </c>
      <c r="J27" s="7" t="s">
        <v>3426</v>
      </c>
      <c r="K27" s="7"/>
      <c r="L27" s="11" t="str">
        <f>HYPERLINK("http://slimages.macys.com/is/image/MCY/14654930 ")</f>
        <v xml:space="preserve">http://slimages.macys.com/is/image/MCY/14654930 </v>
      </c>
    </row>
    <row r="28" spans="1:12" ht="39.950000000000003" customHeight="1" x14ac:dyDescent="0.25">
      <c r="A28" s="6" t="s">
        <v>1463</v>
      </c>
      <c r="B28" s="7" t="s">
        <v>1464</v>
      </c>
      <c r="C28" s="8">
        <v>2</v>
      </c>
      <c r="D28" s="9">
        <v>119.98</v>
      </c>
      <c r="E28" s="8" t="s">
        <v>1465</v>
      </c>
      <c r="F28" s="7" t="s">
        <v>3445</v>
      </c>
      <c r="G28" s="10"/>
      <c r="H28" s="7" t="s">
        <v>3440</v>
      </c>
      <c r="I28" s="7" t="s">
        <v>3441</v>
      </c>
      <c r="J28" s="7" t="s">
        <v>3426</v>
      </c>
      <c r="K28" s="7"/>
      <c r="L28" s="11" t="str">
        <f>HYPERLINK("http://slimages.macys.com/is/image/MCY/8315089 ")</f>
        <v xml:space="preserve">http://slimages.macys.com/is/image/MCY/8315089 </v>
      </c>
    </row>
    <row r="29" spans="1:12" ht="39.950000000000003" customHeight="1" x14ac:dyDescent="0.25">
      <c r="A29" s="6" t="s">
        <v>1466</v>
      </c>
      <c r="B29" s="7" t="s">
        <v>1467</v>
      </c>
      <c r="C29" s="8">
        <v>1</v>
      </c>
      <c r="D29" s="9">
        <v>26.99</v>
      </c>
      <c r="E29" s="8">
        <v>52498</v>
      </c>
      <c r="F29" s="7" t="s">
        <v>3720</v>
      </c>
      <c r="G29" s="10"/>
      <c r="H29" s="7" t="s">
        <v>3490</v>
      </c>
      <c r="I29" s="7" t="s">
        <v>3649</v>
      </c>
      <c r="J29" s="7" t="s">
        <v>3426</v>
      </c>
      <c r="K29" s="7" t="s">
        <v>3518</v>
      </c>
      <c r="L29" s="11" t="str">
        <f>HYPERLINK("http://slimages.macys.com/is/image/MCY/9644106 ")</f>
        <v xml:space="preserve">http://slimages.macys.com/is/image/MCY/9644106 </v>
      </c>
    </row>
    <row r="30" spans="1:12" ht="39.950000000000003" customHeight="1" x14ac:dyDescent="0.25">
      <c r="A30" s="6" t="s">
        <v>1468</v>
      </c>
      <c r="B30" s="7" t="s">
        <v>1469</v>
      </c>
      <c r="C30" s="8">
        <v>1</v>
      </c>
      <c r="D30" s="9">
        <v>36.99</v>
      </c>
      <c r="E30" s="8" t="s">
        <v>1470</v>
      </c>
      <c r="F30" s="7" t="s">
        <v>3674</v>
      </c>
      <c r="G30" s="10" t="s">
        <v>3489</v>
      </c>
      <c r="H30" s="7" t="s">
        <v>3490</v>
      </c>
      <c r="I30" s="7" t="s">
        <v>4157</v>
      </c>
      <c r="J30" s="7" t="s">
        <v>3426</v>
      </c>
      <c r="K30" s="7" t="s">
        <v>3811</v>
      </c>
      <c r="L30" s="11" t="str">
        <f>HYPERLINK("http://slimages.macys.com/is/image/MCY/11293294 ")</f>
        <v xml:space="preserve">http://slimages.macys.com/is/image/MCY/11293294 </v>
      </c>
    </row>
    <row r="31" spans="1:12" ht="39.950000000000003" customHeight="1" x14ac:dyDescent="0.25">
      <c r="A31" s="6" t="s">
        <v>1471</v>
      </c>
      <c r="B31" s="7" t="s">
        <v>1472</v>
      </c>
      <c r="C31" s="8">
        <v>1</v>
      </c>
      <c r="D31" s="9">
        <v>38.99</v>
      </c>
      <c r="E31" s="8" t="s">
        <v>1473</v>
      </c>
      <c r="F31" s="7" t="s">
        <v>3445</v>
      </c>
      <c r="G31" s="10" t="s">
        <v>3617</v>
      </c>
      <c r="H31" s="7" t="s">
        <v>3525</v>
      </c>
      <c r="I31" s="7" t="s">
        <v>3967</v>
      </c>
      <c r="J31" s="7" t="s">
        <v>3601</v>
      </c>
      <c r="K31" s="7" t="s">
        <v>1474</v>
      </c>
      <c r="L31" s="11" t="str">
        <f>HYPERLINK("http://slimages.macys.com/is/image/MCY/9406278 ")</f>
        <v xml:space="preserve">http://slimages.macys.com/is/image/MCY/9406278 </v>
      </c>
    </row>
    <row r="32" spans="1:12" ht="39.950000000000003" customHeight="1" x14ac:dyDescent="0.25">
      <c r="A32" s="6" t="s">
        <v>1475</v>
      </c>
      <c r="B32" s="7" t="s">
        <v>1476</v>
      </c>
      <c r="C32" s="8">
        <v>1</v>
      </c>
      <c r="D32" s="9">
        <v>39.99</v>
      </c>
      <c r="E32" s="8">
        <v>130307</v>
      </c>
      <c r="F32" s="7" t="s">
        <v>3445</v>
      </c>
      <c r="G32" s="10" t="s">
        <v>3675</v>
      </c>
      <c r="H32" s="7" t="s">
        <v>2471</v>
      </c>
      <c r="I32" s="7" t="s">
        <v>2575</v>
      </c>
      <c r="J32" s="7" t="s">
        <v>3426</v>
      </c>
      <c r="K32" s="7" t="s">
        <v>3518</v>
      </c>
      <c r="L32" s="11" t="str">
        <f>HYPERLINK("http://slimages.macys.com/is/image/MCY/3895749 ")</f>
        <v xml:space="preserve">http://slimages.macys.com/is/image/MCY/3895749 </v>
      </c>
    </row>
    <row r="33" spans="1:12" ht="39.950000000000003" customHeight="1" x14ac:dyDescent="0.25">
      <c r="A33" s="6" t="s">
        <v>1477</v>
      </c>
      <c r="B33" s="7" t="s">
        <v>1478</v>
      </c>
      <c r="C33" s="8">
        <v>1</v>
      </c>
      <c r="D33" s="9">
        <v>29.99</v>
      </c>
      <c r="E33" s="8" t="s">
        <v>1479</v>
      </c>
      <c r="F33" s="7" t="s">
        <v>3445</v>
      </c>
      <c r="G33" s="10"/>
      <c r="H33" s="7" t="s">
        <v>3458</v>
      </c>
      <c r="I33" s="7" t="s">
        <v>3459</v>
      </c>
      <c r="J33" s="7" t="s">
        <v>3426</v>
      </c>
      <c r="K33" s="7" t="s">
        <v>3078</v>
      </c>
      <c r="L33" s="11" t="str">
        <f>HYPERLINK("http://slimages.macys.com/is/image/MCY/2519115 ")</f>
        <v xml:space="preserve">http://slimages.macys.com/is/image/MCY/2519115 </v>
      </c>
    </row>
    <row r="34" spans="1:12" ht="39.950000000000003" customHeight="1" x14ac:dyDescent="0.25">
      <c r="A34" s="6" t="s">
        <v>1480</v>
      </c>
      <c r="B34" s="7" t="s">
        <v>1481</v>
      </c>
      <c r="C34" s="8">
        <v>2</v>
      </c>
      <c r="D34" s="9">
        <v>59.98</v>
      </c>
      <c r="E34" s="8" t="s">
        <v>1482</v>
      </c>
      <c r="F34" s="7" t="s">
        <v>3431</v>
      </c>
      <c r="G34" s="10"/>
      <c r="H34" s="7" t="s">
        <v>3452</v>
      </c>
      <c r="I34" s="7" t="s">
        <v>3453</v>
      </c>
      <c r="J34" s="7" t="s">
        <v>3426</v>
      </c>
      <c r="K34" s="7" t="s">
        <v>3492</v>
      </c>
      <c r="L34" s="11" t="str">
        <f>HYPERLINK("http://slimages.macys.com/is/image/MCY/2768808 ")</f>
        <v xml:space="preserve">http://slimages.macys.com/is/image/MCY/2768808 </v>
      </c>
    </row>
    <row r="35" spans="1:12" ht="39.950000000000003" customHeight="1" x14ac:dyDescent="0.25">
      <c r="A35" s="6" t="s">
        <v>1483</v>
      </c>
      <c r="B35" s="7" t="s">
        <v>1484</v>
      </c>
      <c r="C35" s="8">
        <v>1</v>
      </c>
      <c r="D35" s="9">
        <v>13.99</v>
      </c>
      <c r="E35" s="8">
        <v>4861186</v>
      </c>
      <c r="F35" s="7" t="s">
        <v>3463</v>
      </c>
      <c r="G35" s="10" t="s">
        <v>3489</v>
      </c>
      <c r="H35" s="7" t="s">
        <v>3478</v>
      </c>
      <c r="I35" s="7" t="s">
        <v>4394</v>
      </c>
      <c r="J35" s="7" t="s">
        <v>3426</v>
      </c>
      <c r="K35" s="7" t="s">
        <v>3518</v>
      </c>
      <c r="L35" s="11" t="str">
        <f>HYPERLINK("http://slimages.macys.com/is/image/MCY/15718267 ")</f>
        <v xml:space="preserve">http://slimages.macys.com/is/image/MCY/15718267 </v>
      </c>
    </row>
    <row r="36" spans="1:12" ht="39.950000000000003" customHeight="1" x14ac:dyDescent="0.25">
      <c r="A36" s="6" t="s">
        <v>1485</v>
      </c>
      <c r="B36" s="7" t="s">
        <v>1486</v>
      </c>
      <c r="C36" s="8">
        <v>1</v>
      </c>
      <c r="D36" s="9">
        <v>15.99</v>
      </c>
      <c r="E36" s="8" t="s">
        <v>1487</v>
      </c>
      <c r="F36" s="7" t="s">
        <v>3445</v>
      </c>
      <c r="G36" s="10" t="s">
        <v>3489</v>
      </c>
      <c r="H36" s="7" t="s">
        <v>3559</v>
      </c>
      <c r="I36" s="7" t="s">
        <v>3304</v>
      </c>
      <c r="J36" s="7" t="s">
        <v>3549</v>
      </c>
      <c r="K36" s="7" t="s">
        <v>1488</v>
      </c>
      <c r="L36" s="11" t="str">
        <f>HYPERLINK("http://slimages.macys.com/is/image/MCY/16541162 ")</f>
        <v xml:space="preserve">http://slimages.macys.com/is/image/MCY/16541162 </v>
      </c>
    </row>
    <row r="37" spans="1:12" ht="39.950000000000003" customHeight="1" x14ac:dyDescent="0.25">
      <c r="A37" s="6" t="s">
        <v>1489</v>
      </c>
      <c r="B37" s="7" t="s">
        <v>1490</v>
      </c>
      <c r="C37" s="8">
        <v>1</v>
      </c>
      <c r="D37" s="9">
        <v>9.99</v>
      </c>
      <c r="E37" s="8" t="s">
        <v>1491</v>
      </c>
      <c r="F37" s="7" t="s">
        <v>4047</v>
      </c>
      <c r="G37" s="10"/>
      <c r="H37" s="7" t="s">
        <v>3490</v>
      </c>
      <c r="I37" s="7" t="s">
        <v>1492</v>
      </c>
      <c r="J37" s="7" t="s">
        <v>3426</v>
      </c>
      <c r="K37" s="7"/>
      <c r="L37" s="11" t="str">
        <f>HYPERLINK("http://slimages.macys.com/is/image/MCY/15912463 ")</f>
        <v xml:space="preserve">http://slimages.macys.com/is/image/MCY/15912463 </v>
      </c>
    </row>
    <row r="38" spans="1:12" ht="39.950000000000003" customHeight="1" x14ac:dyDescent="0.25">
      <c r="A38" s="6" t="s">
        <v>1493</v>
      </c>
      <c r="B38" s="7" t="s">
        <v>1494</v>
      </c>
      <c r="C38" s="8">
        <v>1</v>
      </c>
      <c r="D38" s="9">
        <v>24.99</v>
      </c>
      <c r="E38" s="8" t="s">
        <v>1495</v>
      </c>
      <c r="F38" s="7" t="s">
        <v>3832</v>
      </c>
      <c r="G38" s="10"/>
      <c r="H38" s="7" t="s">
        <v>3467</v>
      </c>
      <c r="I38" s="7" t="s">
        <v>4333</v>
      </c>
      <c r="J38" s="7" t="s">
        <v>3426</v>
      </c>
      <c r="K38" s="7" t="s">
        <v>4251</v>
      </c>
      <c r="L38" s="11" t="str">
        <f>HYPERLINK("http://slimages.macys.com/is/image/MCY/8588778 ")</f>
        <v xml:space="preserve">http://slimages.macys.com/is/image/MCY/8588778 </v>
      </c>
    </row>
    <row r="39" spans="1:12" ht="39.950000000000003" customHeight="1" x14ac:dyDescent="0.25">
      <c r="A39" s="6" t="s">
        <v>1496</v>
      </c>
      <c r="B39" s="7" t="s">
        <v>1497</v>
      </c>
      <c r="C39" s="8">
        <v>1</v>
      </c>
      <c r="D39" s="9">
        <v>9.99</v>
      </c>
      <c r="E39" s="8">
        <v>4701186</v>
      </c>
      <c r="F39" s="7" t="s">
        <v>3463</v>
      </c>
      <c r="G39" s="10" t="s">
        <v>3489</v>
      </c>
      <c r="H39" s="7" t="s">
        <v>3478</v>
      </c>
      <c r="I39" s="7" t="s">
        <v>4394</v>
      </c>
      <c r="J39" s="7" t="s">
        <v>3426</v>
      </c>
      <c r="K39" s="7" t="s">
        <v>3518</v>
      </c>
      <c r="L39" s="11" t="str">
        <f>HYPERLINK("http://slimages.macys.com/is/image/MCY/15847832 ")</f>
        <v xml:space="preserve">http://slimages.macys.com/is/image/MCY/15847832 </v>
      </c>
    </row>
    <row r="40" spans="1:12" ht="39.950000000000003" customHeight="1" x14ac:dyDescent="0.25">
      <c r="A40" s="6" t="s">
        <v>1498</v>
      </c>
      <c r="B40" s="7" t="s">
        <v>1499</v>
      </c>
      <c r="C40" s="8">
        <v>1</v>
      </c>
      <c r="D40" s="9">
        <v>5.99</v>
      </c>
      <c r="E40" s="8">
        <v>1009787500</v>
      </c>
      <c r="F40" s="7" t="s">
        <v>4096</v>
      </c>
      <c r="G40" s="10" t="s">
        <v>3653</v>
      </c>
      <c r="H40" s="7" t="s">
        <v>3654</v>
      </c>
      <c r="I40" s="7" t="s">
        <v>1500</v>
      </c>
      <c r="J40" s="7"/>
      <c r="K40" s="7"/>
      <c r="L40" s="11" t="str">
        <f>HYPERLINK("http://slimages.macys.com/is/image/MCY/16520310 ")</f>
        <v xml:space="preserve">http://slimages.macys.com/is/image/MCY/16520310 </v>
      </c>
    </row>
    <row r="41" spans="1:12" ht="39.950000000000003" customHeight="1" x14ac:dyDescent="0.25">
      <c r="A41" s="6" t="s">
        <v>1501</v>
      </c>
      <c r="B41" s="7" t="s">
        <v>1502</v>
      </c>
      <c r="C41" s="8">
        <v>1</v>
      </c>
      <c r="D41" s="9">
        <v>99.99</v>
      </c>
      <c r="E41" s="8" t="s">
        <v>1503</v>
      </c>
      <c r="F41" s="7" t="s">
        <v>3720</v>
      </c>
      <c r="G41" s="10"/>
      <c r="H41" s="7" t="s">
        <v>3452</v>
      </c>
      <c r="I41" s="7" t="s">
        <v>3834</v>
      </c>
      <c r="J41" s="7"/>
      <c r="K41" s="7"/>
      <c r="L41" s="11"/>
    </row>
    <row r="42" spans="1:12" ht="39.950000000000003" customHeight="1" x14ac:dyDescent="0.25">
      <c r="A42" s="6" t="s">
        <v>3667</v>
      </c>
      <c r="B42" s="7" t="s">
        <v>3668</v>
      </c>
      <c r="C42" s="8">
        <v>10</v>
      </c>
      <c r="D42" s="9">
        <v>400</v>
      </c>
      <c r="E42" s="8"/>
      <c r="F42" s="7" t="s">
        <v>3610</v>
      </c>
      <c r="G42" s="10" t="s">
        <v>3489</v>
      </c>
      <c r="H42" s="7" t="s">
        <v>3669</v>
      </c>
      <c r="I42" s="7" t="s">
        <v>3670</v>
      </c>
      <c r="J42" s="7"/>
      <c r="K42" s="7"/>
      <c r="L42" s="11"/>
    </row>
    <row r="43" spans="1:12" ht="39.950000000000003" customHeight="1" x14ac:dyDescent="0.25">
      <c r="A43" s="6" t="s">
        <v>1504</v>
      </c>
      <c r="B43" s="7" t="s">
        <v>1505</v>
      </c>
      <c r="C43" s="8">
        <v>1</v>
      </c>
      <c r="D43" s="9">
        <v>40.99</v>
      </c>
      <c r="E43" s="8" t="s">
        <v>1506</v>
      </c>
      <c r="F43" s="7" t="s">
        <v>3431</v>
      </c>
      <c r="G43" s="10" t="s">
        <v>4156</v>
      </c>
      <c r="H43" s="7" t="s">
        <v>3490</v>
      </c>
      <c r="I43" s="7" t="s">
        <v>3491</v>
      </c>
      <c r="J43" s="7"/>
      <c r="K43" s="7"/>
      <c r="L43" s="11"/>
    </row>
    <row r="44" spans="1:12" ht="39.950000000000003" customHeight="1" x14ac:dyDescent="0.25">
      <c r="A44" s="6" t="s">
        <v>1507</v>
      </c>
      <c r="B44" s="7" t="s">
        <v>1508</v>
      </c>
      <c r="C44" s="8">
        <v>1</v>
      </c>
      <c r="D44" s="9">
        <v>27.99</v>
      </c>
      <c r="E44" s="8" t="s">
        <v>1509</v>
      </c>
      <c r="F44" s="7" t="s">
        <v>3364</v>
      </c>
      <c r="G44" s="10" t="s">
        <v>3489</v>
      </c>
      <c r="H44" s="7" t="s">
        <v>3542</v>
      </c>
      <c r="I44" s="7" t="s">
        <v>4143</v>
      </c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1510</v>
      </c>
      <c r="B2" s="7" t="s">
        <v>1511</v>
      </c>
      <c r="C2" s="8">
        <v>1</v>
      </c>
      <c r="D2" s="9">
        <v>229.99</v>
      </c>
      <c r="E2" s="8" t="s">
        <v>1512</v>
      </c>
      <c r="F2" s="7" t="s">
        <v>3511</v>
      </c>
      <c r="G2" s="10" t="s">
        <v>4059</v>
      </c>
      <c r="H2" s="7" t="s">
        <v>3688</v>
      </c>
      <c r="I2" s="7" t="s">
        <v>1513</v>
      </c>
      <c r="J2" s="7"/>
      <c r="K2" s="7"/>
      <c r="L2" s="11" t="str">
        <f>HYPERLINK("http://slimages.macys.com/is/image/MCY/17091115 ")</f>
        <v xml:space="preserve">http://slimages.macys.com/is/image/MCY/17091115 </v>
      </c>
    </row>
    <row r="3" spans="1:12" ht="39.950000000000003" customHeight="1" x14ac:dyDescent="0.25">
      <c r="A3" s="6" t="s">
        <v>1514</v>
      </c>
      <c r="B3" s="7" t="s">
        <v>1515</v>
      </c>
      <c r="C3" s="8">
        <v>1</v>
      </c>
      <c r="D3" s="9">
        <v>179.99</v>
      </c>
      <c r="E3" s="8" t="s">
        <v>1516</v>
      </c>
      <c r="F3" s="7" t="s">
        <v>3477</v>
      </c>
      <c r="G3" s="10"/>
      <c r="H3" s="7" t="s">
        <v>1517</v>
      </c>
      <c r="I3" s="7" t="s">
        <v>1518</v>
      </c>
      <c r="J3" s="7"/>
      <c r="K3" s="7"/>
      <c r="L3" s="11" t="str">
        <f>HYPERLINK("http://slimages.macys.com/is/image/MCY/16608843 ")</f>
        <v xml:space="preserve">http://slimages.macys.com/is/image/MCY/16608843 </v>
      </c>
    </row>
    <row r="4" spans="1:12" ht="39.950000000000003" customHeight="1" x14ac:dyDescent="0.25">
      <c r="A4" s="6" t="s">
        <v>1519</v>
      </c>
      <c r="B4" s="7" t="s">
        <v>1520</v>
      </c>
      <c r="C4" s="8">
        <v>1</v>
      </c>
      <c r="D4" s="9">
        <v>229.99</v>
      </c>
      <c r="E4" s="8" t="s">
        <v>1521</v>
      </c>
      <c r="F4" s="7" t="s">
        <v>3423</v>
      </c>
      <c r="G4" s="10"/>
      <c r="H4" s="7" t="s">
        <v>3440</v>
      </c>
      <c r="I4" s="7" t="s">
        <v>3683</v>
      </c>
      <c r="J4" s="7"/>
      <c r="K4" s="7"/>
      <c r="L4" s="11" t="str">
        <f>HYPERLINK("http://slimages.macys.com/is/image/MCY/18613789 ")</f>
        <v xml:space="preserve">http://slimages.macys.com/is/image/MCY/18613789 </v>
      </c>
    </row>
    <row r="5" spans="1:12" ht="39.950000000000003" customHeight="1" x14ac:dyDescent="0.25">
      <c r="A5" s="6" t="s">
        <v>1522</v>
      </c>
      <c r="B5" s="7" t="s">
        <v>1523</v>
      </c>
      <c r="C5" s="8">
        <v>1</v>
      </c>
      <c r="D5" s="9">
        <v>149.99</v>
      </c>
      <c r="E5" s="8" t="s">
        <v>1524</v>
      </c>
      <c r="F5" s="7" t="s">
        <v>3431</v>
      </c>
      <c r="G5" s="10"/>
      <c r="H5" s="7" t="s">
        <v>3432</v>
      </c>
      <c r="I5" s="7" t="s">
        <v>3553</v>
      </c>
      <c r="J5" s="7"/>
      <c r="K5" s="7"/>
      <c r="L5" s="11" t="str">
        <f>HYPERLINK("http://slimages.macys.com/is/image/MCY/17532077 ")</f>
        <v xml:space="preserve">http://slimages.macys.com/is/image/MCY/17532077 </v>
      </c>
    </row>
    <row r="6" spans="1:12" ht="39.950000000000003" customHeight="1" x14ac:dyDescent="0.25">
      <c r="A6" s="6" t="s">
        <v>4261</v>
      </c>
      <c r="B6" s="7" t="s">
        <v>4262</v>
      </c>
      <c r="C6" s="8">
        <v>1</v>
      </c>
      <c r="D6" s="9">
        <v>149.99</v>
      </c>
      <c r="E6" s="8" t="s">
        <v>4263</v>
      </c>
      <c r="F6" s="7" t="s">
        <v>3445</v>
      </c>
      <c r="G6" s="10"/>
      <c r="H6" s="7" t="s">
        <v>3676</v>
      </c>
      <c r="I6" s="7" t="s">
        <v>3548</v>
      </c>
      <c r="J6" s="7" t="s">
        <v>3564</v>
      </c>
      <c r="K6" s="7" t="s">
        <v>3879</v>
      </c>
      <c r="L6" s="11" t="str">
        <f>HYPERLINK("http://slimages.macys.com/is/image/MCY/3962569 ")</f>
        <v xml:space="preserve">http://slimages.macys.com/is/image/MCY/3962569 </v>
      </c>
    </row>
    <row r="7" spans="1:12" ht="39.950000000000003" customHeight="1" x14ac:dyDescent="0.25">
      <c r="A7" s="6" t="s">
        <v>1525</v>
      </c>
      <c r="B7" s="7" t="s">
        <v>1526</v>
      </c>
      <c r="C7" s="8">
        <v>1</v>
      </c>
      <c r="D7" s="9">
        <v>119.99</v>
      </c>
      <c r="E7" s="8" t="s">
        <v>1527</v>
      </c>
      <c r="F7" s="7" t="s">
        <v>3535</v>
      </c>
      <c r="G7" s="10"/>
      <c r="H7" s="7" t="s">
        <v>3490</v>
      </c>
      <c r="I7" s="7" t="s">
        <v>1528</v>
      </c>
      <c r="J7" s="7" t="s">
        <v>3426</v>
      </c>
      <c r="K7" s="7" t="s">
        <v>1529</v>
      </c>
      <c r="L7" s="11" t="str">
        <f>HYPERLINK("http://slimages.macys.com/is/image/MCY/14306488 ")</f>
        <v xml:space="preserve">http://slimages.macys.com/is/image/MCY/14306488 </v>
      </c>
    </row>
    <row r="8" spans="1:12" ht="39.950000000000003" customHeight="1" x14ac:dyDescent="0.25">
      <c r="A8" s="6" t="s">
        <v>1530</v>
      </c>
      <c r="B8" s="7" t="s">
        <v>1531</v>
      </c>
      <c r="C8" s="8">
        <v>1</v>
      </c>
      <c r="D8" s="9">
        <v>189.99</v>
      </c>
      <c r="E8" s="8" t="s">
        <v>1532</v>
      </c>
      <c r="F8" s="7" t="s">
        <v>3445</v>
      </c>
      <c r="G8" s="10" t="s">
        <v>3675</v>
      </c>
      <c r="H8" s="7" t="s">
        <v>3676</v>
      </c>
      <c r="I8" s="7" t="s">
        <v>3548</v>
      </c>
      <c r="J8" s="7" t="s">
        <v>3564</v>
      </c>
      <c r="K8" s="7" t="s">
        <v>3879</v>
      </c>
      <c r="L8" s="11" t="str">
        <f>HYPERLINK("http://slimages.macys.com/is/image/MCY/3962568 ")</f>
        <v xml:space="preserve">http://slimages.macys.com/is/image/MCY/3962568 </v>
      </c>
    </row>
    <row r="9" spans="1:12" ht="39.950000000000003" customHeight="1" x14ac:dyDescent="0.25">
      <c r="A9" s="6" t="s">
        <v>1533</v>
      </c>
      <c r="B9" s="7" t="s">
        <v>1534</v>
      </c>
      <c r="C9" s="8">
        <v>1</v>
      </c>
      <c r="D9" s="9">
        <v>129.99</v>
      </c>
      <c r="E9" s="8" t="s">
        <v>1535</v>
      </c>
      <c r="F9" s="7" t="s">
        <v>3364</v>
      </c>
      <c r="G9" s="10"/>
      <c r="H9" s="7" t="s">
        <v>3432</v>
      </c>
      <c r="I9" s="7" t="s">
        <v>4277</v>
      </c>
      <c r="J9" s="7" t="s">
        <v>3426</v>
      </c>
      <c r="K9" s="7" t="s">
        <v>3518</v>
      </c>
      <c r="L9" s="11" t="str">
        <f>HYPERLINK("http://slimages.macys.com/is/image/MCY/3819330 ")</f>
        <v xml:space="preserve">http://slimages.macys.com/is/image/MCY/3819330 </v>
      </c>
    </row>
    <row r="10" spans="1:12" ht="39.950000000000003" customHeight="1" x14ac:dyDescent="0.25">
      <c r="A10" s="6" t="s">
        <v>1536</v>
      </c>
      <c r="B10" s="7" t="s">
        <v>1537</v>
      </c>
      <c r="C10" s="8">
        <v>1</v>
      </c>
      <c r="D10" s="9">
        <v>139.99</v>
      </c>
      <c r="E10" s="8" t="s">
        <v>1538</v>
      </c>
      <c r="F10" s="7" t="s">
        <v>3445</v>
      </c>
      <c r="G10" s="10" t="s">
        <v>3675</v>
      </c>
      <c r="H10" s="7" t="s">
        <v>3676</v>
      </c>
      <c r="I10" s="7" t="s">
        <v>3548</v>
      </c>
      <c r="J10" s="7" t="s">
        <v>3564</v>
      </c>
      <c r="K10" s="7" t="s">
        <v>3879</v>
      </c>
      <c r="L10" s="11" t="str">
        <f>HYPERLINK("http://slimages.macys.com/is/image/MCY/3962569 ")</f>
        <v xml:space="preserve">http://slimages.macys.com/is/image/MCY/3962569 </v>
      </c>
    </row>
    <row r="11" spans="1:12" ht="39.950000000000003" customHeight="1" x14ac:dyDescent="0.25">
      <c r="A11" s="6" t="s">
        <v>1539</v>
      </c>
      <c r="B11" s="7" t="s">
        <v>1540</v>
      </c>
      <c r="C11" s="8">
        <v>1</v>
      </c>
      <c r="D11" s="9">
        <v>129.99</v>
      </c>
      <c r="E11" s="8" t="s">
        <v>1541</v>
      </c>
      <c r="F11" s="7" t="s">
        <v>3431</v>
      </c>
      <c r="G11" s="10"/>
      <c r="H11" s="7" t="s">
        <v>3458</v>
      </c>
      <c r="I11" s="7" t="s">
        <v>3459</v>
      </c>
      <c r="J11" s="7"/>
      <c r="K11" s="7"/>
      <c r="L11" s="11" t="str">
        <f>HYPERLINK("http://slimages.macys.com/is/image/MCY/17885596 ")</f>
        <v xml:space="preserve">http://slimages.macys.com/is/image/MCY/17885596 </v>
      </c>
    </row>
    <row r="12" spans="1:12" ht="39.950000000000003" customHeight="1" x14ac:dyDescent="0.25">
      <c r="A12" s="6" t="s">
        <v>1542</v>
      </c>
      <c r="B12" s="7" t="s">
        <v>1543</v>
      </c>
      <c r="C12" s="8">
        <v>1</v>
      </c>
      <c r="D12" s="9">
        <v>89.99</v>
      </c>
      <c r="E12" s="8" t="s">
        <v>1544</v>
      </c>
      <c r="F12" s="7" t="s">
        <v>3535</v>
      </c>
      <c r="G12" s="10"/>
      <c r="H12" s="7" t="s">
        <v>3432</v>
      </c>
      <c r="I12" s="7" t="s">
        <v>1545</v>
      </c>
      <c r="J12" s="7"/>
      <c r="K12" s="7"/>
      <c r="L12" s="11" t="str">
        <f>HYPERLINK("http://slimages.macys.com/is/image/MCY/17444879 ")</f>
        <v xml:space="preserve">http://slimages.macys.com/is/image/MCY/17444879 </v>
      </c>
    </row>
    <row r="13" spans="1:12" ht="39.950000000000003" customHeight="1" x14ac:dyDescent="0.25">
      <c r="A13" s="6" t="s">
        <v>1546</v>
      </c>
      <c r="B13" s="7" t="s">
        <v>1547</v>
      </c>
      <c r="C13" s="8">
        <v>1</v>
      </c>
      <c r="D13" s="9">
        <v>109.99</v>
      </c>
      <c r="E13" s="8" t="s">
        <v>1548</v>
      </c>
      <c r="F13" s="7" t="s">
        <v>3445</v>
      </c>
      <c r="G13" s="10"/>
      <c r="H13" s="7" t="s">
        <v>3458</v>
      </c>
      <c r="I13" s="7" t="s">
        <v>3459</v>
      </c>
      <c r="J13" s="7" t="s">
        <v>3426</v>
      </c>
      <c r="K13" s="7"/>
      <c r="L13" s="11" t="str">
        <f>HYPERLINK("http://slimages.macys.com/is/image/MCY/11534834 ")</f>
        <v xml:space="preserve">http://slimages.macys.com/is/image/MCY/11534834 </v>
      </c>
    </row>
    <row r="14" spans="1:12" ht="39.950000000000003" customHeight="1" x14ac:dyDescent="0.25">
      <c r="A14" s="6" t="s">
        <v>1549</v>
      </c>
      <c r="B14" s="7" t="s">
        <v>1550</v>
      </c>
      <c r="C14" s="8">
        <v>1</v>
      </c>
      <c r="D14" s="9">
        <v>119.99</v>
      </c>
      <c r="E14" s="8" t="s">
        <v>1551</v>
      </c>
      <c r="F14" s="7" t="s">
        <v>3511</v>
      </c>
      <c r="G14" s="10"/>
      <c r="H14" s="7" t="s">
        <v>3467</v>
      </c>
      <c r="I14" s="7" t="s">
        <v>2922</v>
      </c>
      <c r="J14" s="7" t="s">
        <v>3613</v>
      </c>
      <c r="K14" s="7" t="s">
        <v>1552</v>
      </c>
      <c r="L14" s="11" t="str">
        <f>HYPERLINK("http://slimages.macys.com/is/image/MCY/11640418 ")</f>
        <v xml:space="preserve">http://slimages.macys.com/is/image/MCY/11640418 </v>
      </c>
    </row>
    <row r="15" spans="1:12" ht="39.950000000000003" customHeight="1" x14ac:dyDescent="0.25">
      <c r="A15" s="6" t="s">
        <v>1553</v>
      </c>
      <c r="B15" s="7" t="s">
        <v>1554</v>
      </c>
      <c r="C15" s="8">
        <v>1</v>
      </c>
      <c r="D15" s="9">
        <v>149.99</v>
      </c>
      <c r="E15" s="8" t="s">
        <v>1555</v>
      </c>
      <c r="F15" s="7" t="s">
        <v>3504</v>
      </c>
      <c r="G15" s="10"/>
      <c r="H15" s="7" t="s">
        <v>3458</v>
      </c>
      <c r="I15" s="7" t="s">
        <v>3459</v>
      </c>
      <c r="J15" s="7" t="s">
        <v>3426</v>
      </c>
      <c r="K15" s="7" t="s">
        <v>1556</v>
      </c>
      <c r="L15" s="11" t="str">
        <f>HYPERLINK("http://slimages.macys.com/is/image/MCY/15389610 ")</f>
        <v xml:space="preserve">http://slimages.macys.com/is/image/MCY/15389610 </v>
      </c>
    </row>
    <row r="16" spans="1:12" ht="39.950000000000003" customHeight="1" x14ac:dyDescent="0.25">
      <c r="A16" s="6" t="s">
        <v>1557</v>
      </c>
      <c r="B16" s="7" t="s">
        <v>1558</v>
      </c>
      <c r="C16" s="8">
        <v>1</v>
      </c>
      <c r="D16" s="9">
        <v>99.99</v>
      </c>
      <c r="E16" s="8" t="s">
        <v>1559</v>
      </c>
      <c r="F16" s="7" t="s">
        <v>3530</v>
      </c>
      <c r="G16" s="10"/>
      <c r="H16" s="7" t="s">
        <v>3452</v>
      </c>
      <c r="I16" s="7" t="s">
        <v>3453</v>
      </c>
      <c r="J16" s="7" t="s">
        <v>3426</v>
      </c>
      <c r="K16" s="7" t="s">
        <v>4251</v>
      </c>
      <c r="L16" s="11" t="str">
        <f>HYPERLINK("http://slimages.macys.com/is/image/MCY/9855038 ")</f>
        <v xml:space="preserve">http://slimages.macys.com/is/image/MCY/9855038 </v>
      </c>
    </row>
    <row r="17" spans="1:12" ht="39.950000000000003" customHeight="1" x14ac:dyDescent="0.25">
      <c r="A17" s="6" t="s">
        <v>1560</v>
      </c>
      <c r="B17" s="7" t="s">
        <v>1561</v>
      </c>
      <c r="C17" s="8">
        <v>1</v>
      </c>
      <c r="D17" s="9">
        <v>109.99</v>
      </c>
      <c r="E17" s="8" t="s">
        <v>1562</v>
      </c>
      <c r="F17" s="7" t="s">
        <v>3496</v>
      </c>
      <c r="G17" s="10"/>
      <c r="H17" s="7" t="s">
        <v>3452</v>
      </c>
      <c r="I17" s="7" t="s">
        <v>3453</v>
      </c>
      <c r="J17" s="7" t="s">
        <v>3426</v>
      </c>
      <c r="K17" s="7"/>
      <c r="L17" s="11" t="str">
        <f>HYPERLINK("http://slimages.macys.com/is/image/MCY/15105811 ")</f>
        <v xml:space="preserve">http://slimages.macys.com/is/image/MCY/15105811 </v>
      </c>
    </row>
    <row r="18" spans="1:12" ht="39.950000000000003" customHeight="1" x14ac:dyDescent="0.25">
      <c r="A18" s="6" t="s">
        <v>2475</v>
      </c>
      <c r="B18" s="7" t="s">
        <v>2476</v>
      </c>
      <c r="C18" s="8">
        <v>1</v>
      </c>
      <c r="D18" s="9">
        <v>99.99</v>
      </c>
      <c r="E18" s="8" t="s">
        <v>2477</v>
      </c>
      <c r="F18" s="7" t="s">
        <v>3431</v>
      </c>
      <c r="G18" s="10"/>
      <c r="H18" s="7" t="s">
        <v>3572</v>
      </c>
      <c r="I18" s="7" t="s">
        <v>2478</v>
      </c>
      <c r="J18" s="7" t="s">
        <v>3426</v>
      </c>
      <c r="K18" s="7"/>
      <c r="L18" s="11" t="str">
        <f>HYPERLINK("http://slimages.macys.com/is/image/MCY/16334131 ")</f>
        <v xml:space="preserve">http://slimages.macys.com/is/image/MCY/16334131 </v>
      </c>
    </row>
    <row r="19" spans="1:12" ht="39.950000000000003" customHeight="1" x14ac:dyDescent="0.25">
      <c r="A19" s="6" t="s">
        <v>1563</v>
      </c>
      <c r="B19" s="7" t="s">
        <v>1564</v>
      </c>
      <c r="C19" s="8">
        <v>1</v>
      </c>
      <c r="D19" s="9">
        <v>99.99</v>
      </c>
      <c r="E19" s="8" t="s">
        <v>1565</v>
      </c>
      <c r="F19" s="7" t="s">
        <v>3500</v>
      </c>
      <c r="G19" s="10"/>
      <c r="H19" s="7" t="s">
        <v>3458</v>
      </c>
      <c r="I19" s="7" t="s">
        <v>3459</v>
      </c>
      <c r="J19" s="7" t="s">
        <v>3426</v>
      </c>
      <c r="K19" s="7" t="s">
        <v>4251</v>
      </c>
      <c r="L19" s="11" t="str">
        <f>HYPERLINK("http://slimages.macys.com/is/image/MCY/8433239 ")</f>
        <v xml:space="preserve">http://slimages.macys.com/is/image/MCY/8433239 </v>
      </c>
    </row>
    <row r="20" spans="1:12" ht="39.950000000000003" customHeight="1" x14ac:dyDescent="0.25">
      <c r="A20" s="6" t="s">
        <v>1566</v>
      </c>
      <c r="B20" s="7" t="s">
        <v>1567</v>
      </c>
      <c r="C20" s="8">
        <v>1</v>
      </c>
      <c r="D20" s="9">
        <v>99.99</v>
      </c>
      <c r="E20" s="8" t="s">
        <v>1568</v>
      </c>
      <c r="F20" s="7" t="s">
        <v>3804</v>
      </c>
      <c r="G20" s="10"/>
      <c r="H20" s="7" t="s">
        <v>3458</v>
      </c>
      <c r="I20" s="7" t="s">
        <v>3459</v>
      </c>
      <c r="J20" s="7" t="s">
        <v>3426</v>
      </c>
      <c r="K20" s="7" t="s">
        <v>3485</v>
      </c>
      <c r="L20" s="11" t="str">
        <f>HYPERLINK("http://slimages.macys.com/is/image/MCY/11607139 ")</f>
        <v xml:space="preserve">http://slimages.macys.com/is/image/MCY/11607139 </v>
      </c>
    </row>
    <row r="21" spans="1:12" ht="39.950000000000003" customHeight="1" x14ac:dyDescent="0.25">
      <c r="A21" s="6" t="s">
        <v>1569</v>
      </c>
      <c r="B21" s="7" t="s">
        <v>1570</v>
      </c>
      <c r="C21" s="8">
        <v>1</v>
      </c>
      <c r="D21" s="9">
        <v>99.99</v>
      </c>
      <c r="E21" s="8" t="s">
        <v>1571</v>
      </c>
      <c r="F21" s="7" t="s">
        <v>4167</v>
      </c>
      <c r="G21" s="10"/>
      <c r="H21" s="7" t="s">
        <v>3458</v>
      </c>
      <c r="I21" s="7" t="s">
        <v>3459</v>
      </c>
      <c r="J21" s="7" t="s">
        <v>3426</v>
      </c>
      <c r="K21" s="7" t="s">
        <v>3709</v>
      </c>
      <c r="L21" s="11" t="str">
        <f>HYPERLINK("http://slimages.macys.com/is/image/MCY/14907061 ")</f>
        <v xml:space="preserve">http://slimages.macys.com/is/image/MCY/14907061 </v>
      </c>
    </row>
    <row r="22" spans="1:12" ht="39.950000000000003" customHeight="1" x14ac:dyDescent="0.25">
      <c r="A22" s="6" t="s">
        <v>1572</v>
      </c>
      <c r="B22" s="7" t="s">
        <v>1573</v>
      </c>
      <c r="C22" s="8">
        <v>1</v>
      </c>
      <c r="D22" s="9">
        <v>84.99</v>
      </c>
      <c r="E22" s="8" t="s">
        <v>1574</v>
      </c>
      <c r="F22" s="7" t="s">
        <v>3445</v>
      </c>
      <c r="G22" s="10"/>
      <c r="H22" s="7" t="s">
        <v>3525</v>
      </c>
      <c r="I22" s="7" t="s">
        <v>3548</v>
      </c>
      <c r="J22" s="7" t="s">
        <v>3564</v>
      </c>
      <c r="K22" s="7" t="s">
        <v>3927</v>
      </c>
      <c r="L22" s="11" t="str">
        <f>HYPERLINK("http://slimages.macys.com/is/image/MCY/8589816 ")</f>
        <v xml:space="preserve">http://slimages.macys.com/is/image/MCY/8589816 </v>
      </c>
    </row>
    <row r="23" spans="1:12" ht="39.950000000000003" customHeight="1" x14ac:dyDescent="0.25">
      <c r="A23" s="6" t="s">
        <v>1575</v>
      </c>
      <c r="B23" s="7" t="s">
        <v>1576</v>
      </c>
      <c r="C23" s="8">
        <v>1</v>
      </c>
      <c r="D23" s="9">
        <v>59.99</v>
      </c>
      <c r="E23" s="8" t="s">
        <v>1577</v>
      </c>
      <c r="F23" s="7" t="s">
        <v>4313</v>
      </c>
      <c r="G23" s="10"/>
      <c r="H23" s="7" t="s">
        <v>3695</v>
      </c>
      <c r="I23" s="7" t="s">
        <v>2614</v>
      </c>
      <c r="J23" s="7" t="s">
        <v>3426</v>
      </c>
      <c r="K23" s="7" t="s">
        <v>3447</v>
      </c>
      <c r="L23" s="11" t="str">
        <f>HYPERLINK("http://slimages.macys.com/is/image/MCY/10152952 ")</f>
        <v xml:space="preserve">http://slimages.macys.com/is/image/MCY/10152952 </v>
      </c>
    </row>
    <row r="24" spans="1:12" ht="39.950000000000003" customHeight="1" x14ac:dyDescent="0.25">
      <c r="A24" s="6" t="s">
        <v>1578</v>
      </c>
      <c r="B24" s="7" t="s">
        <v>1579</v>
      </c>
      <c r="C24" s="8">
        <v>1</v>
      </c>
      <c r="D24" s="9">
        <v>78</v>
      </c>
      <c r="E24" s="8" t="s">
        <v>1580</v>
      </c>
      <c r="F24" s="7" t="s">
        <v>3431</v>
      </c>
      <c r="G24" s="10"/>
      <c r="H24" s="7" t="s">
        <v>3478</v>
      </c>
      <c r="I24" s="7" t="s">
        <v>3815</v>
      </c>
      <c r="J24" s="7" t="s">
        <v>3426</v>
      </c>
      <c r="K24" s="7" t="s">
        <v>3518</v>
      </c>
      <c r="L24" s="11" t="str">
        <f>HYPERLINK("http://slimages.macys.com/is/image/MCY/13300324 ")</f>
        <v xml:space="preserve">http://slimages.macys.com/is/image/MCY/13300324 </v>
      </c>
    </row>
    <row r="25" spans="1:12" ht="39.950000000000003" customHeight="1" x14ac:dyDescent="0.25">
      <c r="A25" s="6" t="s">
        <v>1581</v>
      </c>
      <c r="B25" s="7" t="s">
        <v>1582</v>
      </c>
      <c r="C25" s="8">
        <v>1</v>
      </c>
      <c r="D25" s="9">
        <v>119.99</v>
      </c>
      <c r="E25" s="8" t="s">
        <v>1583</v>
      </c>
      <c r="F25" s="7" t="s">
        <v>3431</v>
      </c>
      <c r="G25" s="10"/>
      <c r="H25" s="7" t="s">
        <v>3572</v>
      </c>
      <c r="I25" s="7" t="s">
        <v>3724</v>
      </c>
      <c r="J25" s="7"/>
      <c r="K25" s="7"/>
      <c r="L25" s="11" t="str">
        <f>HYPERLINK("http://slimages.macys.com/is/image/MCY/17531037 ")</f>
        <v xml:space="preserve">http://slimages.macys.com/is/image/MCY/17531037 </v>
      </c>
    </row>
    <row r="26" spans="1:12" ht="39.950000000000003" customHeight="1" x14ac:dyDescent="0.25">
      <c r="A26" s="6" t="s">
        <v>1584</v>
      </c>
      <c r="B26" s="7" t="s">
        <v>1585</v>
      </c>
      <c r="C26" s="8">
        <v>1</v>
      </c>
      <c r="D26" s="9">
        <v>69.989999999999995</v>
      </c>
      <c r="E26" s="8" t="s">
        <v>1586</v>
      </c>
      <c r="F26" s="7"/>
      <c r="G26" s="10"/>
      <c r="H26" s="7" t="s">
        <v>3478</v>
      </c>
      <c r="I26" s="7" t="s">
        <v>3553</v>
      </c>
      <c r="J26" s="7" t="s">
        <v>3426</v>
      </c>
      <c r="K26" s="7" t="s">
        <v>1587</v>
      </c>
      <c r="L26" s="11" t="str">
        <f>HYPERLINK("http://slimages.macys.com/is/image/MCY/9505259 ")</f>
        <v xml:space="preserve">http://slimages.macys.com/is/image/MCY/9505259 </v>
      </c>
    </row>
    <row r="27" spans="1:12" ht="39.950000000000003" customHeight="1" x14ac:dyDescent="0.25">
      <c r="A27" s="6" t="s">
        <v>3924</v>
      </c>
      <c r="B27" s="7" t="s">
        <v>3925</v>
      </c>
      <c r="C27" s="8">
        <v>1</v>
      </c>
      <c r="D27" s="9">
        <v>64.989999999999995</v>
      </c>
      <c r="E27" s="8" t="s">
        <v>3926</v>
      </c>
      <c r="F27" s="7" t="s">
        <v>3445</v>
      </c>
      <c r="G27" s="10"/>
      <c r="H27" s="7" t="s">
        <v>3525</v>
      </c>
      <c r="I27" s="7" t="s">
        <v>3548</v>
      </c>
      <c r="J27" s="7" t="s">
        <v>3564</v>
      </c>
      <c r="K27" s="7" t="s">
        <v>3927</v>
      </c>
      <c r="L27" s="11" t="str">
        <f>HYPERLINK("http://slimages.macys.com/is/image/MCY/8589816 ")</f>
        <v xml:space="preserve">http://slimages.macys.com/is/image/MCY/8589816 </v>
      </c>
    </row>
    <row r="28" spans="1:12" ht="39.950000000000003" customHeight="1" x14ac:dyDescent="0.25">
      <c r="A28" s="6" t="s">
        <v>1588</v>
      </c>
      <c r="B28" s="7" t="s">
        <v>1589</v>
      </c>
      <c r="C28" s="8">
        <v>1</v>
      </c>
      <c r="D28" s="9">
        <v>59.99</v>
      </c>
      <c r="E28" s="8" t="s">
        <v>1590</v>
      </c>
      <c r="F28" s="7" t="s">
        <v>3463</v>
      </c>
      <c r="G28" s="10"/>
      <c r="H28" s="7" t="s">
        <v>3424</v>
      </c>
      <c r="I28" s="7" t="s">
        <v>3508</v>
      </c>
      <c r="J28" s="7" t="s">
        <v>3426</v>
      </c>
      <c r="K28" s="7" t="s">
        <v>3492</v>
      </c>
      <c r="L28" s="11" t="str">
        <f>HYPERLINK("http://slimages.macys.com/is/image/MCY/8095477 ")</f>
        <v xml:space="preserve">http://slimages.macys.com/is/image/MCY/8095477 </v>
      </c>
    </row>
    <row r="29" spans="1:12" ht="39.950000000000003" customHeight="1" x14ac:dyDescent="0.25">
      <c r="A29" s="6" t="s">
        <v>1591</v>
      </c>
      <c r="B29" s="7" t="s">
        <v>1592</v>
      </c>
      <c r="C29" s="8">
        <v>1</v>
      </c>
      <c r="D29" s="9">
        <v>59.99</v>
      </c>
      <c r="E29" s="8" t="s">
        <v>1593</v>
      </c>
      <c r="F29" s="7" t="s">
        <v>3431</v>
      </c>
      <c r="G29" s="10"/>
      <c r="H29" s="7" t="s">
        <v>3695</v>
      </c>
      <c r="I29" s="7" t="s">
        <v>4250</v>
      </c>
      <c r="J29" s="7" t="s">
        <v>3426</v>
      </c>
      <c r="K29" s="7" t="s">
        <v>3556</v>
      </c>
      <c r="L29" s="11" t="str">
        <f>HYPERLINK("http://slimages.macys.com/is/image/MCY/12061155 ")</f>
        <v xml:space="preserve">http://slimages.macys.com/is/image/MCY/12061155 </v>
      </c>
    </row>
    <row r="30" spans="1:12" ht="39.950000000000003" customHeight="1" x14ac:dyDescent="0.25">
      <c r="A30" s="6" t="s">
        <v>3381</v>
      </c>
      <c r="B30" s="7" t="s">
        <v>3382</v>
      </c>
      <c r="C30" s="8">
        <v>1</v>
      </c>
      <c r="D30" s="9">
        <v>69.989999999999995</v>
      </c>
      <c r="E30" s="8" t="s">
        <v>4303</v>
      </c>
      <c r="F30" s="7" t="s">
        <v>3748</v>
      </c>
      <c r="G30" s="10"/>
      <c r="H30" s="7" t="s">
        <v>3452</v>
      </c>
      <c r="I30" s="7" t="s">
        <v>3834</v>
      </c>
      <c r="J30" s="7" t="s">
        <v>3426</v>
      </c>
      <c r="K30" s="7" t="s">
        <v>3556</v>
      </c>
      <c r="L30" s="11" t="str">
        <f>HYPERLINK("http://slimages.macys.com/is/image/MCY/9940182 ")</f>
        <v xml:space="preserve">http://slimages.macys.com/is/image/MCY/9940182 </v>
      </c>
    </row>
    <row r="31" spans="1:12" ht="39.950000000000003" customHeight="1" x14ac:dyDescent="0.25">
      <c r="A31" s="6" t="s">
        <v>1594</v>
      </c>
      <c r="B31" s="7" t="s">
        <v>1595</v>
      </c>
      <c r="C31" s="8">
        <v>1</v>
      </c>
      <c r="D31" s="9">
        <v>79.989999999999995</v>
      </c>
      <c r="E31" s="8" t="s">
        <v>1596</v>
      </c>
      <c r="F31" s="7" t="s">
        <v>3445</v>
      </c>
      <c r="G31" s="10"/>
      <c r="H31" s="7" t="s">
        <v>3440</v>
      </c>
      <c r="I31" s="7" t="s">
        <v>3683</v>
      </c>
      <c r="J31" s="7" t="s">
        <v>3426</v>
      </c>
      <c r="K31" s="7"/>
      <c r="L31" s="11" t="str">
        <f>HYPERLINK("http://slimages.macys.com/is/image/MCY/13118033 ")</f>
        <v xml:space="preserve">http://slimages.macys.com/is/image/MCY/13118033 </v>
      </c>
    </row>
    <row r="32" spans="1:12" ht="39.950000000000003" customHeight="1" x14ac:dyDescent="0.25">
      <c r="A32" s="6" t="s">
        <v>1597</v>
      </c>
      <c r="B32" s="7" t="s">
        <v>1598</v>
      </c>
      <c r="C32" s="8">
        <v>1</v>
      </c>
      <c r="D32" s="9">
        <v>49.99</v>
      </c>
      <c r="E32" s="8" t="s">
        <v>1599</v>
      </c>
      <c r="F32" s="7" t="s">
        <v>3484</v>
      </c>
      <c r="G32" s="10"/>
      <c r="H32" s="7" t="s">
        <v>3458</v>
      </c>
      <c r="I32" s="7" t="s">
        <v>2950</v>
      </c>
      <c r="J32" s="7" t="s">
        <v>3426</v>
      </c>
      <c r="K32" s="7" t="s">
        <v>3123</v>
      </c>
      <c r="L32" s="11" t="str">
        <f>HYPERLINK("http://slimages.macys.com/is/image/MCY/11518009 ")</f>
        <v xml:space="preserve">http://slimages.macys.com/is/image/MCY/11518009 </v>
      </c>
    </row>
    <row r="33" spans="1:12" ht="39.950000000000003" customHeight="1" x14ac:dyDescent="0.25">
      <c r="A33" s="6" t="s">
        <v>2810</v>
      </c>
      <c r="B33" s="7" t="s">
        <v>2811</v>
      </c>
      <c r="C33" s="8">
        <v>1</v>
      </c>
      <c r="D33" s="9">
        <v>49.99</v>
      </c>
      <c r="E33" s="8" t="s">
        <v>2812</v>
      </c>
      <c r="F33" s="7"/>
      <c r="G33" s="10"/>
      <c r="H33" s="7" t="s">
        <v>3478</v>
      </c>
      <c r="I33" s="7" t="s">
        <v>3815</v>
      </c>
      <c r="J33" s="7"/>
      <c r="K33" s="7"/>
      <c r="L33" s="11" t="str">
        <f>HYPERLINK("http://slimages.macys.com/is/image/MCY/17088229 ")</f>
        <v xml:space="preserve">http://slimages.macys.com/is/image/MCY/17088229 </v>
      </c>
    </row>
    <row r="34" spans="1:12" ht="39.950000000000003" customHeight="1" x14ac:dyDescent="0.25">
      <c r="A34" s="6" t="s">
        <v>1600</v>
      </c>
      <c r="B34" s="7" t="s">
        <v>1601</v>
      </c>
      <c r="C34" s="8">
        <v>1</v>
      </c>
      <c r="D34" s="9">
        <v>44.99</v>
      </c>
      <c r="E34" s="8" t="s">
        <v>1602</v>
      </c>
      <c r="F34" s="7" t="s">
        <v>3445</v>
      </c>
      <c r="G34" s="10"/>
      <c r="H34" s="7" t="s">
        <v>3432</v>
      </c>
      <c r="I34" s="7" t="s">
        <v>1603</v>
      </c>
      <c r="J34" s="7" t="s">
        <v>3426</v>
      </c>
      <c r="K34" s="7"/>
      <c r="L34" s="11" t="str">
        <f>HYPERLINK("http://slimages.macys.com/is/image/MCY/9848721 ")</f>
        <v xml:space="preserve">http://slimages.macys.com/is/image/MCY/9848721 </v>
      </c>
    </row>
    <row r="35" spans="1:12" ht="39.950000000000003" customHeight="1" x14ac:dyDescent="0.25">
      <c r="A35" s="6" t="s">
        <v>1604</v>
      </c>
      <c r="B35" s="7" t="s">
        <v>1605</v>
      </c>
      <c r="C35" s="8">
        <v>2</v>
      </c>
      <c r="D35" s="9">
        <v>79.98</v>
      </c>
      <c r="E35" s="8">
        <v>56608</v>
      </c>
      <c r="F35" s="7" t="s">
        <v>3720</v>
      </c>
      <c r="G35" s="10"/>
      <c r="H35" s="7" t="s">
        <v>3490</v>
      </c>
      <c r="I35" s="7" t="s">
        <v>3649</v>
      </c>
      <c r="J35" s="7" t="s">
        <v>3426</v>
      </c>
      <c r="K35" s="7" t="s">
        <v>3518</v>
      </c>
      <c r="L35" s="11" t="str">
        <f>HYPERLINK("http://slimages.macys.com/is/image/MCY/16060565 ")</f>
        <v xml:space="preserve">http://slimages.macys.com/is/image/MCY/16060565 </v>
      </c>
    </row>
    <row r="36" spans="1:12" ht="39.950000000000003" customHeight="1" x14ac:dyDescent="0.25">
      <c r="A36" s="6" t="s">
        <v>1606</v>
      </c>
      <c r="B36" s="7" t="s">
        <v>1607</v>
      </c>
      <c r="C36" s="8">
        <v>2</v>
      </c>
      <c r="D36" s="9">
        <v>156.22</v>
      </c>
      <c r="E36" s="8" t="s">
        <v>1608</v>
      </c>
      <c r="F36" s="7"/>
      <c r="G36" s="10"/>
      <c r="H36" s="7" t="s">
        <v>1609</v>
      </c>
      <c r="I36" s="7" t="s">
        <v>1610</v>
      </c>
      <c r="J36" s="7" t="s">
        <v>3426</v>
      </c>
      <c r="K36" s="7"/>
      <c r="L36" s="11" t="str">
        <f>HYPERLINK("http://slimages.macys.com/is/image/MCY/10264815 ")</f>
        <v xml:space="preserve">http://slimages.macys.com/is/image/MCY/10264815 </v>
      </c>
    </row>
    <row r="37" spans="1:12" ht="39.950000000000003" customHeight="1" x14ac:dyDescent="0.25">
      <c r="A37" s="6" t="s">
        <v>1611</v>
      </c>
      <c r="B37" s="7" t="s">
        <v>1612</v>
      </c>
      <c r="C37" s="8">
        <v>1</v>
      </c>
      <c r="D37" s="9">
        <v>36.99</v>
      </c>
      <c r="E37" s="8">
        <v>9745</v>
      </c>
      <c r="F37" s="7" t="s">
        <v>3431</v>
      </c>
      <c r="G37" s="10" t="s">
        <v>3489</v>
      </c>
      <c r="H37" s="7" t="s">
        <v>3583</v>
      </c>
      <c r="I37" s="7" t="s">
        <v>1613</v>
      </c>
      <c r="J37" s="7" t="s">
        <v>3426</v>
      </c>
      <c r="K37" s="7" t="s">
        <v>1614</v>
      </c>
      <c r="L37" s="11" t="str">
        <f>HYPERLINK("http://slimages.macys.com/is/image/MCY/15369136 ")</f>
        <v xml:space="preserve">http://slimages.macys.com/is/image/MCY/15369136 </v>
      </c>
    </row>
    <row r="38" spans="1:12" ht="39.950000000000003" customHeight="1" x14ac:dyDescent="0.25">
      <c r="A38" s="6" t="s">
        <v>1615</v>
      </c>
      <c r="B38" s="7" t="s">
        <v>1616</v>
      </c>
      <c r="C38" s="8">
        <v>1</v>
      </c>
      <c r="D38" s="9">
        <v>49.99</v>
      </c>
      <c r="E38" s="8" t="s">
        <v>1617</v>
      </c>
      <c r="F38" s="7"/>
      <c r="G38" s="10" t="s">
        <v>3489</v>
      </c>
      <c r="H38" s="7" t="s">
        <v>3478</v>
      </c>
      <c r="I38" s="7" t="s">
        <v>1618</v>
      </c>
      <c r="J38" s="7"/>
      <c r="K38" s="7"/>
      <c r="L38" s="11" t="str">
        <f>HYPERLINK("http://slimages.macys.com/is/image/MCY/17858851 ")</f>
        <v xml:space="preserve">http://slimages.macys.com/is/image/MCY/17858851 </v>
      </c>
    </row>
    <row r="39" spans="1:12" ht="39.950000000000003" customHeight="1" x14ac:dyDescent="0.25">
      <c r="A39" s="6" t="s">
        <v>1619</v>
      </c>
      <c r="B39" s="7" t="s">
        <v>1620</v>
      </c>
      <c r="C39" s="8">
        <v>1</v>
      </c>
      <c r="D39" s="9">
        <v>47.99</v>
      </c>
      <c r="E39" s="8" t="s">
        <v>1621</v>
      </c>
      <c r="F39" s="7" t="s">
        <v>3445</v>
      </c>
      <c r="G39" s="10"/>
      <c r="H39" s="7" t="s">
        <v>3490</v>
      </c>
      <c r="I39" s="7" t="s">
        <v>4230</v>
      </c>
      <c r="J39" s="7" t="s">
        <v>3426</v>
      </c>
      <c r="K39" s="7" t="s">
        <v>3518</v>
      </c>
      <c r="L39" s="11" t="str">
        <f>HYPERLINK("http://slimages.macys.com/is/image/MCY/13062928 ")</f>
        <v xml:space="preserve">http://slimages.macys.com/is/image/MCY/13062928 </v>
      </c>
    </row>
    <row r="40" spans="1:12" ht="39.950000000000003" customHeight="1" x14ac:dyDescent="0.25">
      <c r="A40" s="6" t="s">
        <v>1622</v>
      </c>
      <c r="B40" s="7" t="s">
        <v>1623</v>
      </c>
      <c r="C40" s="8">
        <v>1</v>
      </c>
      <c r="D40" s="9">
        <v>39.99</v>
      </c>
      <c r="E40" s="8" t="s">
        <v>1624</v>
      </c>
      <c r="F40" s="7" t="s">
        <v>3504</v>
      </c>
      <c r="G40" s="10" t="s">
        <v>1625</v>
      </c>
      <c r="H40" s="7" t="s">
        <v>3458</v>
      </c>
      <c r="I40" s="7" t="s">
        <v>3459</v>
      </c>
      <c r="J40" s="7" t="s">
        <v>3426</v>
      </c>
      <c r="K40" s="7"/>
      <c r="L40" s="11" t="str">
        <f>HYPERLINK("http://slimages.macys.com/is/image/MCY/8435667 ")</f>
        <v xml:space="preserve">http://slimages.macys.com/is/image/MCY/8435667 </v>
      </c>
    </row>
    <row r="41" spans="1:12" ht="39.950000000000003" customHeight="1" x14ac:dyDescent="0.25">
      <c r="A41" s="6" t="s">
        <v>1626</v>
      </c>
      <c r="B41" s="7" t="s">
        <v>1627</v>
      </c>
      <c r="C41" s="8">
        <v>1</v>
      </c>
      <c r="D41" s="9">
        <v>27.99</v>
      </c>
      <c r="E41" s="8" t="s">
        <v>1628</v>
      </c>
      <c r="F41" s="7" t="s">
        <v>3463</v>
      </c>
      <c r="G41" s="10"/>
      <c r="H41" s="7" t="s">
        <v>3583</v>
      </c>
      <c r="I41" s="7" t="s">
        <v>3262</v>
      </c>
      <c r="J41" s="7"/>
      <c r="K41" s="7"/>
      <c r="L41" s="11" t="str">
        <f>HYPERLINK("http://slimages.macys.com/is/image/MCY/16758417 ")</f>
        <v xml:space="preserve">http://slimages.macys.com/is/image/MCY/16758417 </v>
      </c>
    </row>
    <row r="42" spans="1:12" ht="39.950000000000003" customHeight="1" x14ac:dyDescent="0.25">
      <c r="A42" s="6" t="s">
        <v>1629</v>
      </c>
      <c r="B42" s="7" t="s">
        <v>1630</v>
      </c>
      <c r="C42" s="8">
        <v>1</v>
      </c>
      <c r="D42" s="9">
        <v>34.99</v>
      </c>
      <c r="E42" s="8" t="s">
        <v>1631</v>
      </c>
      <c r="F42" s="7" t="s">
        <v>3720</v>
      </c>
      <c r="G42" s="10" t="s">
        <v>2927</v>
      </c>
      <c r="H42" s="7" t="s">
        <v>3458</v>
      </c>
      <c r="I42" s="7" t="s">
        <v>3459</v>
      </c>
      <c r="J42" s="7" t="s">
        <v>3426</v>
      </c>
      <c r="K42" s="7"/>
      <c r="L42" s="11" t="str">
        <f>HYPERLINK("http://slimages.macys.com/is/image/MCY/8456177 ")</f>
        <v xml:space="preserve">http://slimages.macys.com/is/image/MCY/8456177 </v>
      </c>
    </row>
    <row r="43" spans="1:12" ht="39.950000000000003" customHeight="1" x14ac:dyDescent="0.25">
      <c r="A43" s="6" t="s">
        <v>1632</v>
      </c>
      <c r="B43" s="7" t="s">
        <v>1633</v>
      </c>
      <c r="C43" s="8">
        <v>1</v>
      </c>
      <c r="D43" s="9">
        <v>26.99</v>
      </c>
      <c r="E43" s="8">
        <v>52497</v>
      </c>
      <c r="F43" s="7" t="s">
        <v>3804</v>
      </c>
      <c r="G43" s="10"/>
      <c r="H43" s="7" t="s">
        <v>3490</v>
      </c>
      <c r="I43" s="7" t="s">
        <v>3649</v>
      </c>
      <c r="J43" s="7" t="s">
        <v>3426</v>
      </c>
      <c r="K43" s="7" t="s">
        <v>3518</v>
      </c>
      <c r="L43" s="11" t="str">
        <f>HYPERLINK("http://slimages.macys.com/is/image/MCY/9644106 ")</f>
        <v xml:space="preserve">http://slimages.macys.com/is/image/MCY/9644106 </v>
      </c>
    </row>
    <row r="44" spans="1:12" ht="39.950000000000003" customHeight="1" x14ac:dyDescent="0.25">
      <c r="A44" s="6" t="s">
        <v>1634</v>
      </c>
      <c r="B44" s="7" t="s">
        <v>1635</v>
      </c>
      <c r="C44" s="8">
        <v>1</v>
      </c>
      <c r="D44" s="9">
        <v>39.99</v>
      </c>
      <c r="E44" s="8">
        <v>130401</v>
      </c>
      <c r="F44" s="7" t="s">
        <v>3431</v>
      </c>
      <c r="G44" s="10" t="s">
        <v>3675</v>
      </c>
      <c r="H44" s="7" t="s">
        <v>2471</v>
      </c>
      <c r="I44" s="7" t="s">
        <v>2575</v>
      </c>
      <c r="J44" s="7" t="s">
        <v>3426</v>
      </c>
      <c r="K44" s="7" t="s">
        <v>3144</v>
      </c>
      <c r="L44" s="11" t="str">
        <f>HYPERLINK("http://slimages.macys.com/is/image/MCY/15717992 ")</f>
        <v xml:space="preserve">http://slimages.macys.com/is/image/MCY/15717992 </v>
      </c>
    </row>
    <row r="45" spans="1:12" ht="39.950000000000003" customHeight="1" x14ac:dyDescent="0.25">
      <c r="A45" s="6" t="s">
        <v>1636</v>
      </c>
      <c r="B45" s="7" t="s">
        <v>1637</v>
      </c>
      <c r="C45" s="8">
        <v>1</v>
      </c>
      <c r="D45" s="9">
        <v>22.99</v>
      </c>
      <c r="E45" s="8" t="s">
        <v>1638</v>
      </c>
      <c r="F45" s="7" t="s">
        <v>3445</v>
      </c>
      <c r="G45" s="10"/>
      <c r="H45" s="7" t="s">
        <v>3583</v>
      </c>
      <c r="I45" s="7" t="s">
        <v>4183</v>
      </c>
      <c r="J45" s="7" t="s">
        <v>3426</v>
      </c>
      <c r="K45" s="7" t="s">
        <v>1639</v>
      </c>
      <c r="L45" s="11" t="str">
        <f>HYPERLINK("http://slimages.macys.com/is/image/MCY/8328638 ")</f>
        <v xml:space="preserve">http://slimages.macys.com/is/image/MCY/8328638 </v>
      </c>
    </row>
    <row r="46" spans="1:12" ht="39.950000000000003" customHeight="1" x14ac:dyDescent="0.25">
      <c r="A46" s="6" t="s">
        <v>1640</v>
      </c>
      <c r="B46" s="7" t="s">
        <v>1641</v>
      </c>
      <c r="C46" s="8">
        <v>1</v>
      </c>
      <c r="D46" s="9">
        <v>59.99</v>
      </c>
      <c r="E46" s="8" t="s">
        <v>1642</v>
      </c>
      <c r="F46" s="7" t="s">
        <v>3484</v>
      </c>
      <c r="G46" s="10" t="s">
        <v>1643</v>
      </c>
      <c r="H46" s="7" t="s">
        <v>3440</v>
      </c>
      <c r="I46" s="7" t="s">
        <v>3441</v>
      </c>
      <c r="J46" s="7" t="s">
        <v>3426</v>
      </c>
      <c r="K46" s="7" t="s">
        <v>4315</v>
      </c>
      <c r="L46" s="11" t="str">
        <f>HYPERLINK("http://slimages.macys.com/is/image/MCY/16354731 ")</f>
        <v xml:space="preserve">http://slimages.macys.com/is/image/MCY/16354731 </v>
      </c>
    </row>
    <row r="47" spans="1:12" ht="39.950000000000003" customHeight="1" x14ac:dyDescent="0.25">
      <c r="A47" s="6" t="s">
        <v>1644</v>
      </c>
      <c r="B47" s="7" t="s">
        <v>1645</v>
      </c>
      <c r="C47" s="8">
        <v>1</v>
      </c>
      <c r="D47" s="9">
        <v>39.99</v>
      </c>
      <c r="E47" s="8" t="s">
        <v>1646</v>
      </c>
      <c r="F47" s="7" t="s">
        <v>3463</v>
      </c>
      <c r="G47" s="10"/>
      <c r="H47" s="7" t="s">
        <v>3452</v>
      </c>
      <c r="I47" s="7" t="s">
        <v>3453</v>
      </c>
      <c r="J47" s="7" t="s">
        <v>3426</v>
      </c>
      <c r="K47" s="7"/>
      <c r="L47" s="11" t="str">
        <f>HYPERLINK("http://slimages.macys.com/is/image/MCY/14433609 ")</f>
        <v xml:space="preserve">http://slimages.macys.com/is/image/MCY/14433609 </v>
      </c>
    </row>
    <row r="48" spans="1:12" ht="39.950000000000003" customHeight="1" x14ac:dyDescent="0.25">
      <c r="A48" s="6" t="s">
        <v>1647</v>
      </c>
      <c r="B48" s="7" t="s">
        <v>1648</v>
      </c>
      <c r="C48" s="8">
        <v>1</v>
      </c>
      <c r="D48" s="9">
        <v>34.99</v>
      </c>
      <c r="E48" s="8" t="s">
        <v>1649</v>
      </c>
      <c r="F48" s="7" t="s">
        <v>3451</v>
      </c>
      <c r="G48" s="10"/>
      <c r="H48" s="7" t="s">
        <v>3452</v>
      </c>
      <c r="I48" s="7" t="s">
        <v>3453</v>
      </c>
      <c r="J48" s="7"/>
      <c r="K48" s="7"/>
      <c r="L48" s="11" t="str">
        <f>HYPERLINK("http://slimages.macys.com/is/image/MCY/17450469 ")</f>
        <v xml:space="preserve">http://slimages.macys.com/is/image/MCY/17450469 </v>
      </c>
    </row>
    <row r="49" spans="1:12" ht="39.950000000000003" customHeight="1" x14ac:dyDescent="0.25">
      <c r="A49" s="6" t="s">
        <v>1650</v>
      </c>
      <c r="B49" s="7" t="s">
        <v>1651</v>
      </c>
      <c r="C49" s="8">
        <v>1</v>
      </c>
      <c r="D49" s="9">
        <v>23.99</v>
      </c>
      <c r="E49" s="8" t="s">
        <v>1652</v>
      </c>
      <c r="F49" s="7" t="s">
        <v>4047</v>
      </c>
      <c r="G49" s="10" t="s">
        <v>3489</v>
      </c>
      <c r="H49" s="7" t="s">
        <v>3490</v>
      </c>
      <c r="I49" s="7" t="s">
        <v>4119</v>
      </c>
      <c r="J49" s="7" t="s">
        <v>3426</v>
      </c>
      <c r="K49" s="7" t="s">
        <v>3816</v>
      </c>
      <c r="L49" s="11" t="str">
        <f>HYPERLINK("http://slimages.macys.com/is/image/MCY/9725308 ")</f>
        <v xml:space="preserve">http://slimages.macys.com/is/image/MCY/9725308 </v>
      </c>
    </row>
    <row r="50" spans="1:12" ht="39.950000000000003" customHeight="1" x14ac:dyDescent="0.25">
      <c r="A50" s="6" t="s">
        <v>1653</v>
      </c>
      <c r="B50" s="7" t="s">
        <v>1654</v>
      </c>
      <c r="C50" s="8">
        <v>1</v>
      </c>
      <c r="D50" s="9">
        <v>17.989999999999998</v>
      </c>
      <c r="E50" s="8" t="s">
        <v>1655</v>
      </c>
      <c r="F50" s="7" t="s">
        <v>3588</v>
      </c>
      <c r="G50" s="10" t="s">
        <v>3653</v>
      </c>
      <c r="H50" s="7" t="s">
        <v>3635</v>
      </c>
      <c r="I50" s="7" t="s">
        <v>3700</v>
      </c>
      <c r="J50" s="7"/>
      <c r="K50" s="7"/>
      <c r="L50" s="11" t="str">
        <f>HYPERLINK("http://slimages.macys.com/is/image/MCY/16559972 ")</f>
        <v xml:space="preserve">http://slimages.macys.com/is/image/MCY/16559972 </v>
      </c>
    </row>
    <row r="51" spans="1:12" ht="39.950000000000003" customHeight="1" x14ac:dyDescent="0.25">
      <c r="A51" s="6" t="s">
        <v>1656</v>
      </c>
      <c r="B51" s="7" t="s">
        <v>1657</v>
      </c>
      <c r="C51" s="8">
        <v>1</v>
      </c>
      <c r="D51" s="9">
        <v>34.99</v>
      </c>
      <c r="E51" s="8" t="s">
        <v>4187</v>
      </c>
      <c r="F51" s="7" t="s">
        <v>3504</v>
      </c>
      <c r="G51" s="10"/>
      <c r="H51" s="7" t="s">
        <v>3452</v>
      </c>
      <c r="I51" s="7" t="s">
        <v>3453</v>
      </c>
      <c r="J51" s="7"/>
      <c r="K51" s="7"/>
      <c r="L51" s="11" t="str">
        <f>HYPERLINK("http://slimages.macys.com/is/image/MCY/17773190 ")</f>
        <v xml:space="preserve">http://slimages.macys.com/is/image/MCY/17773190 </v>
      </c>
    </row>
    <row r="52" spans="1:12" ht="39.950000000000003" customHeight="1" x14ac:dyDescent="0.25">
      <c r="A52" s="6" t="s">
        <v>1658</v>
      </c>
      <c r="B52" s="7" t="s">
        <v>1659</v>
      </c>
      <c r="C52" s="8">
        <v>1</v>
      </c>
      <c r="D52" s="9">
        <v>19.989999999999998</v>
      </c>
      <c r="E52" s="8">
        <v>55373</v>
      </c>
      <c r="F52" s="7" t="s">
        <v>3674</v>
      </c>
      <c r="G52" s="10"/>
      <c r="H52" s="7" t="s">
        <v>3490</v>
      </c>
      <c r="I52" s="7" t="s">
        <v>3649</v>
      </c>
      <c r="J52" s="7" t="s">
        <v>3426</v>
      </c>
      <c r="K52" s="7" t="s">
        <v>3518</v>
      </c>
      <c r="L52" s="11" t="str">
        <f>HYPERLINK("http://slimages.macys.com/is/image/MCY/12936575 ")</f>
        <v xml:space="preserve">http://slimages.macys.com/is/image/MCY/12936575 </v>
      </c>
    </row>
    <row r="53" spans="1:12" ht="39.950000000000003" customHeight="1" x14ac:dyDescent="0.25">
      <c r="A53" s="6" t="s">
        <v>4195</v>
      </c>
      <c r="B53" s="7" t="s">
        <v>4196</v>
      </c>
      <c r="C53" s="8">
        <v>1</v>
      </c>
      <c r="D53" s="9">
        <v>34.99</v>
      </c>
      <c r="E53" s="8" t="s">
        <v>4197</v>
      </c>
      <c r="F53" s="7" t="s">
        <v>3496</v>
      </c>
      <c r="G53" s="10"/>
      <c r="H53" s="7" t="s">
        <v>3452</v>
      </c>
      <c r="I53" s="7" t="s">
        <v>3453</v>
      </c>
      <c r="J53" s="7" t="s">
        <v>3426</v>
      </c>
      <c r="K53" s="7" t="s">
        <v>3556</v>
      </c>
      <c r="L53" s="11" t="str">
        <f>HYPERLINK("http://slimages.macys.com/is/image/MCY/15105812 ")</f>
        <v xml:space="preserve">http://slimages.macys.com/is/image/MCY/15105812 </v>
      </c>
    </row>
    <row r="54" spans="1:12" ht="39.950000000000003" customHeight="1" x14ac:dyDescent="0.25">
      <c r="A54" s="6" t="s">
        <v>1660</v>
      </c>
      <c r="B54" s="7" t="s">
        <v>1661</v>
      </c>
      <c r="C54" s="8">
        <v>3</v>
      </c>
      <c r="D54" s="9">
        <v>50.97</v>
      </c>
      <c r="E54" s="8">
        <v>44030</v>
      </c>
      <c r="F54" s="7" t="s">
        <v>3511</v>
      </c>
      <c r="G54" s="10" t="s">
        <v>4383</v>
      </c>
      <c r="H54" s="7" t="s">
        <v>3490</v>
      </c>
      <c r="I54" s="7" t="s">
        <v>3649</v>
      </c>
      <c r="J54" s="7" t="s">
        <v>3426</v>
      </c>
      <c r="K54" s="7" t="s">
        <v>3518</v>
      </c>
      <c r="L54" s="11" t="str">
        <f>HYPERLINK("http://slimages.macys.com/is/image/MCY/10010133 ")</f>
        <v xml:space="preserve">http://slimages.macys.com/is/image/MCY/10010133 </v>
      </c>
    </row>
    <row r="55" spans="1:12" ht="39.950000000000003" customHeight="1" x14ac:dyDescent="0.25">
      <c r="A55" s="6" t="s">
        <v>1662</v>
      </c>
      <c r="B55" s="7" t="s">
        <v>1663</v>
      </c>
      <c r="C55" s="8">
        <v>1</v>
      </c>
      <c r="D55" s="9">
        <v>29.99</v>
      </c>
      <c r="E55" s="8" t="s">
        <v>1664</v>
      </c>
      <c r="F55" s="7" t="s">
        <v>3463</v>
      </c>
      <c r="G55" s="10"/>
      <c r="H55" s="7" t="s">
        <v>3452</v>
      </c>
      <c r="I55" s="7" t="s">
        <v>3453</v>
      </c>
      <c r="J55" s="7" t="s">
        <v>3426</v>
      </c>
      <c r="K55" s="7"/>
      <c r="L55" s="11" t="str">
        <f>HYPERLINK("http://slimages.macys.com/is/image/MCY/15912151 ")</f>
        <v xml:space="preserve">http://slimages.macys.com/is/image/MCY/15912151 </v>
      </c>
    </row>
    <row r="56" spans="1:12" ht="39.950000000000003" customHeight="1" x14ac:dyDescent="0.25">
      <c r="A56" s="6" t="s">
        <v>1480</v>
      </c>
      <c r="B56" s="7" t="s">
        <v>1481</v>
      </c>
      <c r="C56" s="8">
        <v>1</v>
      </c>
      <c r="D56" s="9">
        <v>29.99</v>
      </c>
      <c r="E56" s="8" t="s">
        <v>1482</v>
      </c>
      <c r="F56" s="7" t="s">
        <v>3431</v>
      </c>
      <c r="G56" s="10"/>
      <c r="H56" s="7" t="s">
        <v>3452</v>
      </c>
      <c r="I56" s="7" t="s">
        <v>3453</v>
      </c>
      <c r="J56" s="7" t="s">
        <v>3426</v>
      </c>
      <c r="K56" s="7" t="s">
        <v>3492</v>
      </c>
      <c r="L56" s="11" t="str">
        <f>HYPERLINK("http://slimages.macys.com/is/image/MCY/2768808 ")</f>
        <v xml:space="preserve">http://slimages.macys.com/is/image/MCY/2768808 </v>
      </c>
    </row>
    <row r="57" spans="1:12" ht="39.950000000000003" customHeight="1" x14ac:dyDescent="0.25">
      <c r="A57" s="6" t="s">
        <v>1665</v>
      </c>
      <c r="B57" s="7" t="s">
        <v>1666</v>
      </c>
      <c r="C57" s="8">
        <v>1</v>
      </c>
      <c r="D57" s="9">
        <v>29.99</v>
      </c>
      <c r="E57" s="8" t="s">
        <v>1667</v>
      </c>
      <c r="F57" s="7" t="s">
        <v>3748</v>
      </c>
      <c r="G57" s="10"/>
      <c r="H57" s="7" t="s">
        <v>3452</v>
      </c>
      <c r="I57" s="7" t="s">
        <v>3453</v>
      </c>
      <c r="J57" s="7"/>
      <c r="K57" s="7"/>
      <c r="L57" s="11" t="str">
        <f>HYPERLINK("http://slimages.macys.com/is/image/MCY/18159735 ")</f>
        <v xml:space="preserve">http://slimages.macys.com/is/image/MCY/18159735 </v>
      </c>
    </row>
    <row r="58" spans="1:12" ht="39.950000000000003" customHeight="1" x14ac:dyDescent="0.25">
      <c r="A58" s="6" t="s">
        <v>2717</v>
      </c>
      <c r="B58" s="7" t="s">
        <v>2718</v>
      </c>
      <c r="C58" s="8">
        <v>1</v>
      </c>
      <c r="D58" s="9">
        <v>29.99</v>
      </c>
      <c r="E58" s="8" t="s">
        <v>2719</v>
      </c>
      <c r="F58" s="7" t="s">
        <v>3463</v>
      </c>
      <c r="G58" s="10"/>
      <c r="H58" s="7" t="s">
        <v>3452</v>
      </c>
      <c r="I58" s="7" t="s">
        <v>3453</v>
      </c>
      <c r="J58" s="7" t="s">
        <v>3426</v>
      </c>
      <c r="K58" s="7"/>
      <c r="L58" s="11" t="str">
        <f>HYPERLINK("http://slimages.macys.com/is/image/MCY/15912153 ")</f>
        <v xml:space="preserve">http://slimages.macys.com/is/image/MCY/15912153 </v>
      </c>
    </row>
    <row r="59" spans="1:12" ht="39.950000000000003" customHeight="1" x14ac:dyDescent="0.25">
      <c r="A59" s="6" t="s">
        <v>1668</v>
      </c>
      <c r="B59" s="7" t="s">
        <v>1669</v>
      </c>
      <c r="C59" s="8">
        <v>1</v>
      </c>
      <c r="D59" s="9">
        <v>14.99</v>
      </c>
      <c r="E59" s="8" t="s">
        <v>3661</v>
      </c>
      <c r="F59" s="7" t="s">
        <v>3445</v>
      </c>
      <c r="G59" s="10"/>
      <c r="H59" s="7" t="s">
        <v>3583</v>
      </c>
      <c r="I59" s="7" t="s">
        <v>3662</v>
      </c>
      <c r="J59" s="7" t="s">
        <v>3426</v>
      </c>
      <c r="K59" s="7" t="s">
        <v>3518</v>
      </c>
      <c r="L59" s="11" t="str">
        <f>HYPERLINK("http://slimages.macys.com/is/image/MCY/9092086 ")</f>
        <v xml:space="preserve">http://slimages.macys.com/is/image/MCY/9092086 </v>
      </c>
    </row>
    <row r="60" spans="1:12" ht="39.950000000000003" customHeight="1" x14ac:dyDescent="0.25">
      <c r="A60" s="6" t="s">
        <v>1670</v>
      </c>
      <c r="B60" s="7" t="s">
        <v>1671</v>
      </c>
      <c r="C60" s="8">
        <v>1</v>
      </c>
      <c r="D60" s="9">
        <v>7.99</v>
      </c>
      <c r="E60" s="8" t="s">
        <v>1672</v>
      </c>
      <c r="F60" s="7" t="s">
        <v>3445</v>
      </c>
      <c r="G60" s="10" t="s">
        <v>3653</v>
      </c>
      <c r="H60" s="7" t="s">
        <v>3635</v>
      </c>
      <c r="I60" s="7" t="s">
        <v>3508</v>
      </c>
      <c r="J60" s="7"/>
      <c r="K60" s="7"/>
      <c r="L60" s="11" t="str">
        <f>HYPERLINK("http://slimages.macys.com/is/image/MCY/17492917 ")</f>
        <v xml:space="preserve">http://slimages.macys.com/is/image/MCY/17492917 </v>
      </c>
    </row>
    <row r="61" spans="1:12" ht="39.950000000000003" customHeight="1" x14ac:dyDescent="0.25">
      <c r="A61" s="6" t="s">
        <v>1673</v>
      </c>
      <c r="B61" s="7" t="s">
        <v>1674</v>
      </c>
      <c r="C61" s="8">
        <v>1</v>
      </c>
      <c r="D61" s="9">
        <v>10.99</v>
      </c>
      <c r="E61" s="8" t="s">
        <v>1675</v>
      </c>
      <c r="F61" s="7" t="s">
        <v>3541</v>
      </c>
      <c r="G61" s="10" t="s">
        <v>3489</v>
      </c>
      <c r="H61" s="7" t="s">
        <v>3490</v>
      </c>
      <c r="I61" s="7" t="s">
        <v>1676</v>
      </c>
      <c r="J61" s="7" t="s">
        <v>3426</v>
      </c>
      <c r="K61" s="7" t="s">
        <v>1677</v>
      </c>
      <c r="L61" s="11" t="str">
        <f>HYPERLINK("http://slimages.macys.com/is/image/MCY/13988356 ")</f>
        <v xml:space="preserve">http://slimages.macys.com/is/image/MCY/13988356 </v>
      </c>
    </row>
    <row r="62" spans="1:12" ht="39.950000000000003" customHeight="1" x14ac:dyDescent="0.25">
      <c r="A62" s="6" t="s">
        <v>1678</v>
      </c>
      <c r="B62" s="7" t="s">
        <v>1679</v>
      </c>
      <c r="C62" s="8">
        <v>1</v>
      </c>
      <c r="D62" s="9">
        <v>5.99</v>
      </c>
      <c r="E62" s="8" t="s">
        <v>1680</v>
      </c>
      <c r="F62" s="7" t="s">
        <v>4167</v>
      </c>
      <c r="G62" s="10" t="s">
        <v>4031</v>
      </c>
      <c r="H62" s="7" t="s">
        <v>3635</v>
      </c>
      <c r="I62" s="7" t="s">
        <v>3508</v>
      </c>
      <c r="J62" s="7"/>
      <c r="K62" s="7"/>
      <c r="L62" s="11" t="str">
        <f>HYPERLINK("http://slimages.macys.com/is/image/MCY/17493081 ")</f>
        <v xml:space="preserve">http://slimages.macys.com/is/image/MCY/17493081 </v>
      </c>
    </row>
    <row r="63" spans="1:12" ht="39.950000000000003" customHeight="1" x14ac:dyDescent="0.25">
      <c r="A63" s="6" t="s">
        <v>3667</v>
      </c>
      <c r="B63" s="7" t="s">
        <v>3668</v>
      </c>
      <c r="C63" s="8">
        <v>6</v>
      </c>
      <c r="D63" s="9">
        <v>240</v>
      </c>
      <c r="E63" s="8"/>
      <c r="F63" s="7" t="s">
        <v>3610</v>
      </c>
      <c r="G63" s="10" t="s">
        <v>3489</v>
      </c>
      <c r="H63" s="7" t="s">
        <v>3669</v>
      </c>
      <c r="I63" s="7" t="s">
        <v>3670</v>
      </c>
      <c r="J63" s="7"/>
      <c r="K63" s="7"/>
      <c r="L63" s="11"/>
    </row>
  </sheetData>
  <phoneticPr fontId="0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1681</v>
      </c>
      <c r="B2" s="7" t="s">
        <v>1682</v>
      </c>
      <c r="C2" s="8">
        <v>1</v>
      </c>
      <c r="D2" s="9">
        <v>287.99</v>
      </c>
      <c r="E2" s="8" t="s">
        <v>1683</v>
      </c>
      <c r="F2" s="7" t="s">
        <v>3541</v>
      </c>
      <c r="G2" s="10" t="s">
        <v>3439</v>
      </c>
      <c r="H2" s="7" t="s">
        <v>3478</v>
      </c>
      <c r="I2" s="7" t="s">
        <v>4060</v>
      </c>
      <c r="J2" s="7" t="s">
        <v>3426</v>
      </c>
      <c r="K2" s="7" t="s">
        <v>4061</v>
      </c>
      <c r="L2" s="11" t="str">
        <f>HYPERLINK("http://slimages.macys.com/is/image/MCY/10784737 ")</f>
        <v xml:space="preserve">http://slimages.macys.com/is/image/MCY/10784737 </v>
      </c>
    </row>
    <row r="3" spans="1:12" ht="39.950000000000003" customHeight="1" x14ac:dyDescent="0.25">
      <c r="A3" s="6" t="s">
        <v>1684</v>
      </c>
      <c r="B3" s="7" t="s">
        <v>1685</v>
      </c>
      <c r="C3" s="8">
        <v>1</v>
      </c>
      <c r="D3" s="9">
        <v>269.99</v>
      </c>
      <c r="E3" s="8" t="s">
        <v>1686</v>
      </c>
      <c r="F3" s="7" t="s">
        <v>3938</v>
      </c>
      <c r="G3" s="10"/>
      <c r="H3" s="7" t="s">
        <v>3452</v>
      </c>
      <c r="I3" s="7" t="s">
        <v>3453</v>
      </c>
      <c r="J3" s="7"/>
      <c r="K3" s="7"/>
      <c r="L3" s="11" t="str">
        <f>HYPERLINK("http://slimages.macys.com/is/image/MCY/18084640 ")</f>
        <v xml:space="preserve">http://slimages.macys.com/is/image/MCY/18084640 </v>
      </c>
    </row>
    <row r="4" spans="1:12" ht="39.950000000000003" customHeight="1" x14ac:dyDescent="0.25">
      <c r="A4" s="6" t="s">
        <v>1687</v>
      </c>
      <c r="B4" s="7" t="s">
        <v>1688</v>
      </c>
      <c r="C4" s="8">
        <v>4</v>
      </c>
      <c r="D4" s="9">
        <v>767.96</v>
      </c>
      <c r="E4" s="8" t="s">
        <v>1689</v>
      </c>
      <c r="F4" s="7" t="s">
        <v>3445</v>
      </c>
      <c r="G4" s="10"/>
      <c r="H4" s="7" t="s">
        <v>3559</v>
      </c>
      <c r="I4" s="7" t="s">
        <v>1690</v>
      </c>
      <c r="J4" s="7" t="s">
        <v>3564</v>
      </c>
      <c r="K4" s="7" t="s">
        <v>1691</v>
      </c>
      <c r="L4" s="11" t="str">
        <f>HYPERLINK("http://slimages.macys.com/is/image/MCY/10035997 ")</f>
        <v xml:space="preserve">http://slimages.macys.com/is/image/MCY/10035997 </v>
      </c>
    </row>
    <row r="5" spans="1:12" ht="39.950000000000003" customHeight="1" x14ac:dyDescent="0.25">
      <c r="A5" s="6" t="s">
        <v>1692</v>
      </c>
      <c r="B5" s="7" t="s">
        <v>1693</v>
      </c>
      <c r="C5" s="8">
        <v>2</v>
      </c>
      <c r="D5" s="9">
        <v>359.98</v>
      </c>
      <c r="E5" s="8">
        <v>22326222</v>
      </c>
      <c r="F5" s="7" t="s">
        <v>3496</v>
      </c>
      <c r="G5" s="10"/>
      <c r="H5" s="7" t="s">
        <v>3478</v>
      </c>
      <c r="I5" s="7" t="s">
        <v>3517</v>
      </c>
      <c r="J5" s="7" t="s">
        <v>3426</v>
      </c>
      <c r="K5" s="7" t="s">
        <v>3811</v>
      </c>
      <c r="L5" s="11" t="str">
        <f>HYPERLINK("http://slimages.macys.com/is/image/MCY/16688594 ")</f>
        <v xml:space="preserve">http://slimages.macys.com/is/image/MCY/16688594 </v>
      </c>
    </row>
    <row r="6" spans="1:12" ht="39.950000000000003" customHeight="1" x14ac:dyDescent="0.25">
      <c r="A6" s="6" t="s">
        <v>1694</v>
      </c>
      <c r="B6" s="7" t="s">
        <v>1695</v>
      </c>
      <c r="C6" s="8">
        <v>2</v>
      </c>
      <c r="D6" s="9">
        <v>299.98</v>
      </c>
      <c r="E6" s="8" t="s">
        <v>1696</v>
      </c>
      <c r="F6" s="7" t="s">
        <v>3445</v>
      </c>
      <c r="G6" s="10"/>
      <c r="H6" s="7" t="s">
        <v>3572</v>
      </c>
      <c r="I6" s="7" t="s">
        <v>1697</v>
      </c>
      <c r="J6" s="7" t="s">
        <v>3426</v>
      </c>
      <c r="K6" s="7" t="s">
        <v>4251</v>
      </c>
      <c r="L6" s="11" t="str">
        <f>HYPERLINK("http://slimages.macys.com/is/image/MCY/12072133 ")</f>
        <v xml:space="preserve">http://slimages.macys.com/is/image/MCY/12072133 </v>
      </c>
    </row>
    <row r="7" spans="1:12" ht="39.950000000000003" customHeight="1" x14ac:dyDescent="0.25">
      <c r="A7" s="6" t="s">
        <v>1698</v>
      </c>
      <c r="B7" s="7" t="s">
        <v>1699</v>
      </c>
      <c r="C7" s="8">
        <v>1</v>
      </c>
      <c r="D7" s="9">
        <v>119.99</v>
      </c>
      <c r="E7" s="8" t="s">
        <v>1700</v>
      </c>
      <c r="F7" s="7" t="s">
        <v>4313</v>
      </c>
      <c r="G7" s="10"/>
      <c r="H7" s="7" t="s">
        <v>3478</v>
      </c>
      <c r="I7" s="7" t="s">
        <v>3553</v>
      </c>
      <c r="J7" s="7" t="s">
        <v>3426</v>
      </c>
      <c r="K7" s="7" t="s">
        <v>3518</v>
      </c>
      <c r="L7" s="11" t="str">
        <f>HYPERLINK("http://slimages.macys.com/is/image/MCY/16483450 ")</f>
        <v xml:space="preserve">http://slimages.macys.com/is/image/MCY/16483450 </v>
      </c>
    </row>
    <row r="8" spans="1:12" ht="39.950000000000003" customHeight="1" x14ac:dyDescent="0.25">
      <c r="A8" s="6" t="s">
        <v>1701</v>
      </c>
      <c r="B8" s="7" t="s">
        <v>1702</v>
      </c>
      <c r="C8" s="8">
        <v>1</v>
      </c>
      <c r="D8" s="9">
        <v>129.99</v>
      </c>
      <c r="E8" s="8" t="s">
        <v>1703</v>
      </c>
      <c r="F8" s="7" t="s">
        <v>3445</v>
      </c>
      <c r="G8" s="10"/>
      <c r="H8" s="7" t="s">
        <v>3572</v>
      </c>
      <c r="I8" s="7" t="s">
        <v>1697</v>
      </c>
      <c r="J8" s="7" t="s">
        <v>3426</v>
      </c>
      <c r="K8" s="7" t="s">
        <v>1704</v>
      </c>
      <c r="L8" s="11" t="str">
        <f>HYPERLINK("http://slimages.macys.com/is/image/MCY/12072133 ")</f>
        <v xml:space="preserve">http://slimages.macys.com/is/image/MCY/12072133 </v>
      </c>
    </row>
    <row r="9" spans="1:12" ht="39.950000000000003" customHeight="1" x14ac:dyDescent="0.25">
      <c r="A9" s="6" t="s">
        <v>1705</v>
      </c>
      <c r="B9" s="7" t="s">
        <v>1706</v>
      </c>
      <c r="C9" s="8">
        <v>1</v>
      </c>
      <c r="D9" s="9">
        <v>129.99</v>
      </c>
      <c r="E9" s="8" t="s">
        <v>1707</v>
      </c>
      <c r="F9" s="7" t="s">
        <v>3720</v>
      </c>
      <c r="G9" s="10"/>
      <c r="H9" s="7" t="s">
        <v>3458</v>
      </c>
      <c r="I9" s="7" t="s">
        <v>3459</v>
      </c>
      <c r="J9" s="7" t="s">
        <v>3426</v>
      </c>
      <c r="K9" s="7" t="s">
        <v>1556</v>
      </c>
      <c r="L9" s="11" t="str">
        <f>HYPERLINK("http://slimages.macys.com/is/image/MCY/15862594 ")</f>
        <v xml:space="preserve">http://slimages.macys.com/is/image/MCY/15862594 </v>
      </c>
    </row>
    <row r="10" spans="1:12" ht="39.950000000000003" customHeight="1" x14ac:dyDescent="0.25">
      <c r="A10" s="6" t="s">
        <v>1708</v>
      </c>
      <c r="B10" s="7" t="s">
        <v>1709</v>
      </c>
      <c r="C10" s="8">
        <v>1</v>
      </c>
      <c r="D10" s="9">
        <v>79.989999999999995</v>
      </c>
      <c r="E10" s="8" t="s">
        <v>1710</v>
      </c>
      <c r="F10" s="7" t="s">
        <v>3748</v>
      </c>
      <c r="G10" s="10"/>
      <c r="H10" s="7" t="s">
        <v>3490</v>
      </c>
      <c r="I10" s="7" t="s">
        <v>3815</v>
      </c>
      <c r="J10" s="7"/>
      <c r="K10" s="7"/>
      <c r="L10" s="11" t="str">
        <f>HYPERLINK("http://slimages.macys.com/is/image/MCY/17619990 ")</f>
        <v xml:space="preserve">http://slimages.macys.com/is/image/MCY/17619990 </v>
      </c>
    </row>
    <row r="11" spans="1:12" ht="39.950000000000003" customHeight="1" x14ac:dyDescent="0.25">
      <c r="A11" s="6" t="s">
        <v>1711</v>
      </c>
      <c r="B11" s="7" t="s">
        <v>1712</v>
      </c>
      <c r="C11" s="8">
        <v>1</v>
      </c>
      <c r="D11" s="9">
        <v>62.99</v>
      </c>
      <c r="E11" s="8" t="s">
        <v>1713</v>
      </c>
      <c r="F11" s="7" t="s">
        <v>3445</v>
      </c>
      <c r="G11" s="10"/>
      <c r="H11" s="7" t="s">
        <v>3542</v>
      </c>
      <c r="I11" s="7" t="s">
        <v>4374</v>
      </c>
      <c r="J11" s="7" t="s">
        <v>3426</v>
      </c>
      <c r="K11" s="7" t="s">
        <v>4300</v>
      </c>
      <c r="L11" s="11" t="str">
        <f>HYPERLINK("http://slimages.macys.com/is/image/MCY/10682522 ")</f>
        <v xml:space="preserve">http://slimages.macys.com/is/image/MCY/10682522 </v>
      </c>
    </row>
    <row r="12" spans="1:12" ht="39.950000000000003" customHeight="1" x14ac:dyDescent="0.25">
      <c r="A12" s="6" t="s">
        <v>1714</v>
      </c>
      <c r="B12" s="7" t="s">
        <v>1715</v>
      </c>
      <c r="C12" s="8">
        <v>1</v>
      </c>
      <c r="D12" s="9">
        <v>49.99</v>
      </c>
      <c r="E12" s="8" t="s">
        <v>1716</v>
      </c>
      <c r="F12" s="7" t="s">
        <v>3477</v>
      </c>
      <c r="G12" s="10"/>
      <c r="H12" s="7" t="s">
        <v>3542</v>
      </c>
      <c r="I12" s="7" t="s">
        <v>4234</v>
      </c>
      <c r="J12" s="7" t="s">
        <v>3426</v>
      </c>
      <c r="K12" s="7"/>
      <c r="L12" s="11" t="str">
        <f>HYPERLINK("http://slimages.macys.com/is/image/MCY/12658743 ")</f>
        <v xml:space="preserve">http://slimages.macys.com/is/image/MCY/12658743 </v>
      </c>
    </row>
    <row r="13" spans="1:12" ht="39.950000000000003" customHeight="1" x14ac:dyDescent="0.25">
      <c r="A13" s="6" t="s">
        <v>3932</v>
      </c>
      <c r="B13" s="7" t="s">
        <v>3933</v>
      </c>
      <c r="C13" s="8">
        <v>1</v>
      </c>
      <c r="D13" s="9">
        <v>79.989999999999995</v>
      </c>
      <c r="E13" s="8" t="s">
        <v>3934</v>
      </c>
      <c r="F13" s="7" t="s">
        <v>3500</v>
      </c>
      <c r="G13" s="10"/>
      <c r="H13" s="7" t="s">
        <v>3452</v>
      </c>
      <c r="I13" s="7" t="s">
        <v>3834</v>
      </c>
      <c r="J13" s="7" t="s">
        <v>3426</v>
      </c>
      <c r="K13" s="7" t="s">
        <v>3556</v>
      </c>
      <c r="L13" s="11" t="str">
        <f>HYPERLINK("http://slimages.macys.com/is/image/MCY/14601004 ")</f>
        <v xml:space="preserve">http://slimages.macys.com/is/image/MCY/14601004 </v>
      </c>
    </row>
    <row r="14" spans="1:12" ht="39.950000000000003" customHeight="1" x14ac:dyDescent="0.25">
      <c r="A14" s="6" t="s">
        <v>1717</v>
      </c>
      <c r="B14" s="7" t="s">
        <v>1718</v>
      </c>
      <c r="C14" s="8">
        <v>1</v>
      </c>
      <c r="D14" s="9">
        <v>59.99</v>
      </c>
      <c r="E14" s="8" t="s">
        <v>1719</v>
      </c>
      <c r="F14" s="7" t="s">
        <v>3804</v>
      </c>
      <c r="G14" s="10" t="s">
        <v>4383</v>
      </c>
      <c r="H14" s="7" t="s">
        <v>3490</v>
      </c>
      <c r="I14" s="7" t="s">
        <v>3734</v>
      </c>
      <c r="J14" s="7" t="s">
        <v>3426</v>
      </c>
      <c r="K14" s="7" t="s">
        <v>3811</v>
      </c>
      <c r="L14" s="11" t="str">
        <f>HYPERLINK("http://slimages.macys.com/is/image/MCY/12688585 ")</f>
        <v xml:space="preserve">http://slimages.macys.com/is/image/MCY/12688585 </v>
      </c>
    </row>
    <row r="15" spans="1:12" ht="39.950000000000003" customHeight="1" x14ac:dyDescent="0.25">
      <c r="A15" s="6" t="s">
        <v>3241</v>
      </c>
      <c r="B15" s="7" t="s">
        <v>3242</v>
      </c>
      <c r="C15" s="8">
        <v>1</v>
      </c>
      <c r="D15" s="9">
        <v>39.99</v>
      </c>
      <c r="E15" s="8" t="s">
        <v>3243</v>
      </c>
      <c r="F15" s="7" t="s">
        <v>3445</v>
      </c>
      <c r="G15" s="10"/>
      <c r="H15" s="7" t="s">
        <v>3458</v>
      </c>
      <c r="I15" s="7" t="s">
        <v>3459</v>
      </c>
      <c r="J15" s="7" t="s">
        <v>3426</v>
      </c>
      <c r="K15" s="7" t="s">
        <v>3980</v>
      </c>
      <c r="L15" s="11" t="str">
        <f>HYPERLINK("http://slimages.macys.com/is/image/MCY/11607139 ")</f>
        <v xml:space="preserve">http://slimages.macys.com/is/image/MCY/11607139 </v>
      </c>
    </row>
    <row r="16" spans="1:12" ht="39.950000000000003" customHeight="1" x14ac:dyDescent="0.25">
      <c r="A16" s="6" t="s">
        <v>4327</v>
      </c>
      <c r="B16" s="7" t="s">
        <v>4328</v>
      </c>
      <c r="C16" s="8">
        <v>1</v>
      </c>
      <c r="D16" s="9">
        <v>49.99</v>
      </c>
      <c r="E16" s="8" t="s">
        <v>4329</v>
      </c>
      <c r="F16" s="7" t="s">
        <v>3445</v>
      </c>
      <c r="G16" s="10"/>
      <c r="H16" s="7" t="s">
        <v>3478</v>
      </c>
      <c r="I16" s="7" t="s">
        <v>3517</v>
      </c>
      <c r="J16" s="7" t="s">
        <v>3426</v>
      </c>
      <c r="K16" s="7" t="s">
        <v>3592</v>
      </c>
      <c r="L16" s="11" t="str">
        <f>HYPERLINK("http://slimages.macys.com/is/image/MCY/9330026 ")</f>
        <v xml:space="preserve">http://slimages.macys.com/is/image/MCY/9330026 </v>
      </c>
    </row>
    <row r="17" spans="1:12" ht="39.950000000000003" customHeight="1" x14ac:dyDescent="0.25">
      <c r="A17" s="6" t="s">
        <v>1720</v>
      </c>
      <c r="B17" s="7" t="s">
        <v>1721</v>
      </c>
      <c r="C17" s="8">
        <v>1</v>
      </c>
      <c r="D17" s="9">
        <v>63.99</v>
      </c>
      <c r="E17" s="8">
        <v>62225</v>
      </c>
      <c r="F17" s="7" t="s">
        <v>3445</v>
      </c>
      <c r="G17" s="10"/>
      <c r="H17" s="7" t="s">
        <v>3559</v>
      </c>
      <c r="I17" s="7" t="s">
        <v>3560</v>
      </c>
      <c r="J17" s="7" t="s">
        <v>3426</v>
      </c>
      <c r="K17" s="7" t="s">
        <v>1722</v>
      </c>
      <c r="L17" s="11" t="str">
        <f>HYPERLINK("http://slimages.macys.com/is/image/MCY/10056569 ")</f>
        <v xml:space="preserve">http://slimages.macys.com/is/image/MCY/10056569 </v>
      </c>
    </row>
    <row r="18" spans="1:12" ht="39.950000000000003" customHeight="1" x14ac:dyDescent="0.25">
      <c r="A18" s="6" t="s">
        <v>1723</v>
      </c>
      <c r="B18" s="7" t="s">
        <v>1724</v>
      </c>
      <c r="C18" s="8">
        <v>1</v>
      </c>
      <c r="D18" s="9">
        <v>38.99</v>
      </c>
      <c r="E18" s="8" t="s">
        <v>1725</v>
      </c>
      <c r="F18" s="7" t="s">
        <v>4167</v>
      </c>
      <c r="G18" s="10"/>
      <c r="H18" s="7" t="s">
        <v>3542</v>
      </c>
      <c r="I18" s="7" t="s">
        <v>3543</v>
      </c>
      <c r="J18" s="7" t="s">
        <v>3426</v>
      </c>
      <c r="K18" s="7" t="s">
        <v>3811</v>
      </c>
      <c r="L18" s="11" t="str">
        <f>HYPERLINK("http://slimages.macys.com/is/image/MCY/10284445 ")</f>
        <v xml:space="preserve">http://slimages.macys.com/is/image/MCY/10284445 </v>
      </c>
    </row>
    <row r="19" spans="1:12" ht="39.950000000000003" customHeight="1" x14ac:dyDescent="0.25">
      <c r="A19" s="6" t="s">
        <v>1726</v>
      </c>
      <c r="B19" s="7" t="s">
        <v>1727</v>
      </c>
      <c r="C19" s="8">
        <v>1</v>
      </c>
      <c r="D19" s="9">
        <v>59.99</v>
      </c>
      <c r="E19" s="8">
        <v>10004897500</v>
      </c>
      <c r="F19" s="7" t="s">
        <v>3892</v>
      </c>
      <c r="G19" s="10"/>
      <c r="H19" s="7" t="s">
        <v>3572</v>
      </c>
      <c r="I19" s="7" t="s">
        <v>3897</v>
      </c>
      <c r="J19" s="7" t="s">
        <v>3426</v>
      </c>
      <c r="K19" s="7"/>
      <c r="L19" s="11" t="str">
        <f>HYPERLINK("http://slimages.macys.com/is/image/MCY/14823286 ")</f>
        <v xml:space="preserve">http://slimages.macys.com/is/image/MCY/14823286 </v>
      </c>
    </row>
    <row r="20" spans="1:12" ht="39.950000000000003" customHeight="1" x14ac:dyDescent="0.25">
      <c r="A20" s="6" t="s">
        <v>1728</v>
      </c>
      <c r="B20" s="7" t="s">
        <v>1729</v>
      </c>
      <c r="C20" s="8">
        <v>1</v>
      </c>
      <c r="D20" s="9">
        <v>79.989999999999995</v>
      </c>
      <c r="E20" s="8" t="s">
        <v>1730</v>
      </c>
      <c r="F20" s="7" t="s">
        <v>3438</v>
      </c>
      <c r="G20" s="10"/>
      <c r="H20" s="7" t="s">
        <v>3440</v>
      </c>
      <c r="I20" s="7" t="s">
        <v>3683</v>
      </c>
      <c r="J20" s="7" t="s">
        <v>3426</v>
      </c>
      <c r="K20" s="7"/>
      <c r="L20" s="11" t="str">
        <f>HYPERLINK("http://slimages.macys.com/is/image/MCY/8453086 ")</f>
        <v xml:space="preserve">http://slimages.macys.com/is/image/MCY/8453086 </v>
      </c>
    </row>
    <row r="21" spans="1:12" ht="39.950000000000003" customHeight="1" x14ac:dyDescent="0.25">
      <c r="A21" s="6" t="s">
        <v>1731</v>
      </c>
      <c r="B21" s="7" t="s">
        <v>1732</v>
      </c>
      <c r="C21" s="8">
        <v>1</v>
      </c>
      <c r="D21" s="9">
        <v>45.99</v>
      </c>
      <c r="E21" s="8" t="s">
        <v>1733</v>
      </c>
      <c r="F21" s="7" t="s">
        <v>3445</v>
      </c>
      <c r="G21" s="10" t="s">
        <v>1734</v>
      </c>
      <c r="H21" s="7" t="s">
        <v>2471</v>
      </c>
      <c r="I21" s="7" t="s">
        <v>3777</v>
      </c>
      <c r="J21" s="7" t="s">
        <v>3426</v>
      </c>
      <c r="K21" s="7" t="s">
        <v>3518</v>
      </c>
      <c r="L21" s="11" t="str">
        <f>HYPERLINK("http://slimages.macys.com/is/image/MCY/15688079 ")</f>
        <v xml:space="preserve">http://slimages.macys.com/is/image/MCY/15688079 </v>
      </c>
    </row>
    <row r="22" spans="1:12" ht="39.950000000000003" customHeight="1" x14ac:dyDescent="0.25">
      <c r="A22" s="6" t="s">
        <v>1735</v>
      </c>
      <c r="B22" s="7" t="s">
        <v>1736</v>
      </c>
      <c r="C22" s="8">
        <v>1</v>
      </c>
      <c r="D22" s="9">
        <v>49.99</v>
      </c>
      <c r="E22" s="8" t="s">
        <v>1737</v>
      </c>
      <c r="F22" s="7" t="s">
        <v>3610</v>
      </c>
      <c r="G22" s="10" t="s">
        <v>3773</v>
      </c>
      <c r="H22" s="7" t="s">
        <v>3525</v>
      </c>
      <c r="I22" s="7" t="s">
        <v>3612</v>
      </c>
      <c r="J22" s="7" t="s">
        <v>3613</v>
      </c>
      <c r="K22" s="7" t="s">
        <v>3618</v>
      </c>
      <c r="L22" s="11" t="str">
        <f>HYPERLINK("http://slimages.macys.com/is/image/MCY/256335 ")</f>
        <v xml:space="preserve">http://slimages.macys.com/is/image/MCY/256335 </v>
      </c>
    </row>
    <row r="23" spans="1:12" ht="39.950000000000003" customHeight="1" x14ac:dyDescent="0.25">
      <c r="A23" s="6" t="s">
        <v>4355</v>
      </c>
      <c r="B23" s="7" t="s">
        <v>4356</v>
      </c>
      <c r="C23" s="8">
        <v>2</v>
      </c>
      <c r="D23" s="9">
        <v>33.979999999999997</v>
      </c>
      <c r="E23" s="8" t="s">
        <v>4357</v>
      </c>
      <c r="F23" s="7" t="s">
        <v>3445</v>
      </c>
      <c r="G23" s="10"/>
      <c r="H23" s="7" t="s">
        <v>3559</v>
      </c>
      <c r="I23" s="7" t="s">
        <v>3996</v>
      </c>
      <c r="J23" s="7"/>
      <c r="K23" s="7"/>
      <c r="L23" s="11" t="str">
        <f>HYPERLINK("http://slimages.macys.com/is/image/MCY/17934766 ")</f>
        <v xml:space="preserve">http://slimages.macys.com/is/image/MCY/17934766 </v>
      </c>
    </row>
    <row r="24" spans="1:12" ht="39.950000000000003" customHeight="1" x14ac:dyDescent="0.25">
      <c r="A24" s="6" t="s">
        <v>1738</v>
      </c>
      <c r="B24" s="7" t="s">
        <v>1739</v>
      </c>
      <c r="C24" s="8">
        <v>1</v>
      </c>
      <c r="D24" s="9">
        <v>29.99</v>
      </c>
      <c r="E24" s="8">
        <v>75549</v>
      </c>
      <c r="F24" s="7"/>
      <c r="G24" s="10"/>
      <c r="H24" s="7" t="s">
        <v>3478</v>
      </c>
      <c r="I24" s="7" t="s">
        <v>3479</v>
      </c>
      <c r="J24" s="7" t="s">
        <v>3426</v>
      </c>
      <c r="K24" s="7" t="s">
        <v>1740</v>
      </c>
      <c r="L24" s="11" t="str">
        <f>HYPERLINK("http://slimages.macys.com/is/image/MCY/3813347 ")</f>
        <v xml:space="preserve">http://slimages.macys.com/is/image/MCY/3813347 </v>
      </c>
    </row>
    <row r="25" spans="1:12" ht="39.950000000000003" customHeight="1" x14ac:dyDescent="0.25">
      <c r="A25" s="6" t="s">
        <v>1741</v>
      </c>
      <c r="B25" s="7" t="s">
        <v>1742</v>
      </c>
      <c r="C25" s="8">
        <v>4</v>
      </c>
      <c r="D25" s="9">
        <v>119.96</v>
      </c>
      <c r="E25" s="8" t="s">
        <v>1743</v>
      </c>
      <c r="F25" s="7"/>
      <c r="G25" s="10"/>
      <c r="H25" s="7" t="s">
        <v>3478</v>
      </c>
      <c r="I25" s="7" t="s">
        <v>3815</v>
      </c>
      <c r="J25" s="7" t="s">
        <v>3426</v>
      </c>
      <c r="K25" s="7" t="s">
        <v>3518</v>
      </c>
      <c r="L25" s="11" t="str">
        <f>HYPERLINK("http://slimages.macys.com/is/image/MCY/16688487 ")</f>
        <v xml:space="preserve">http://slimages.macys.com/is/image/MCY/16688487 </v>
      </c>
    </row>
    <row r="26" spans="1:12" ht="39.950000000000003" customHeight="1" x14ac:dyDescent="0.25">
      <c r="A26" s="6" t="s">
        <v>1744</v>
      </c>
      <c r="B26" s="7" t="s">
        <v>1745</v>
      </c>
      <c r="C26" s="8">
        <v>1</v>
      </c>
      <c r="D26" s="9">
        <v>24.99</v>
      </c>
      <c r="E26" s="8" t="s">
        <v>1746</v>
      </c>
      <c r="F26" s="7" t="s">
        <v>3463</v>
      </c>
      <c r="G26" s="10"/>
      <c r="H26" s="7" t="s">
        <v>3542</v>
      </c>
      <c r="I26" s="7" t="s">
        <v>3577</v>
      </c>
      <c r="J26" s="7" t="s">
        <v>3426</v>
      </c>
      <c r="K26" s="7" t="s">
        <v>1747</v>
      </c>
      <c r="L26" s="11" t="str">
        <f>HYPERLINK("http://slimages.macys.com/is/image/MCY/13742796 ")</f>
        <v xml:space="preserve">http://slimages.macys.com/is/image/MCY/13742796 </v>
      </c>
    </row>
    <row r="27" spans="1:12" ht="39.950000000000003" customHeight="1" x14ac:dyDescent="0.25">
      <c r="A27" s="6" t="s">
        <v>1748</v>
      </c>
      <c r="B27" s="7" t="s">
        <v>1749</v>
      </c>
      <c r="C27" s="8">
        <v>1</v>
      </c>
      <c r="D27" s="9">
        <v>29.99</v>
      </c>
      <c r="E27" s="8">
        <v>82261</v>
      </c>
      <c r="F27" s="7" t="s">
        <v>4096</v>
      </c>
      <c r="G27" s="10"/>
      <c r="H27" s="7" t="s">
        <v>3478</v>
      </c>
      <c r="I27" s="7" t="s">
        <v>3479</v>
      </c>
      <c r="J27" s="7"/>
      <c r="K27" s="7"/>
      <c r="L27" s="11" t="str">
        <f>HYPERLINK("http://slimages.macys.com/is/image/MCY/17863027 ")</f>
        <v xml:space="preserve">http://slimages.macys.com/is/image/MCY/17863027 </v>
      </c>
    </row>
    <row r="28" spans="1:12" ht="39.950000000000003" customHeight="1" x14ac:dyDescent="0.25">
      <c r="A28" s="6" t="s">
        <v>1750</v>
      </c>
      <c r="B28" s="7" t="s">
        <v>1751</v>
      </c>
      <c r="C28" s="8">
        <v>1</v>
      </c>
      <c r="D28" s="9">
        <v>29.99</v>
      </c>
      <c r="E28" s="8" t="s">
        <v>1752</v>
      </c>
      <c r="F28" s="7" t="s">
        <v>3477</v>
      </c>
      <c r="G28" s="10"/>
      <c r="H28" s="7" t="s">
        <v>3490</v>
      </c>
      <c r="I28" s="7" t="s">
        <v>4157</v>
      </c>
      <c r="J28" s="7" t="s">
        <v>3426</v>
      </c>
      <c r="K28" s="7" t="s">
        <v>3518</v>
      </c>
      <c r="L28" s="11" t="str">
        <f>HYPERLINK("http://slimages.macys.com/is/image/MCY/15176413 ")</f>
        <v xml:space="preserve">http://slimages.macys.com/is/image/MCY/15176413 </v>
      </c>
    </row>
    <row r="29" spans="1:12" ht="39.950000000000003" customHeight="1" x14ac:dyDescent="0.25">
      <c r="A29" s="6" t="s">
        <v>1753</v>
      </c>
      <c r="B29" s="7" t="s">
        <v>1754</v>
      </c>
      <c r="C29" s="8">
        <v>1</v>
      </c>
      <c r="D29" s="9">
        <v>19.989999999999998</v>
      </c>
      <c r="E29" s="8" t="s">
        <v>1755</v>
      </c>
      <c r="F29" s="7" t="s">
        <v>3445</v>
      </c>
      <c r="G29" s="10"/>
      <c r="H29" s="7" t="s">
        <v>3542</v>
      </c>
      <c r="I29" s="7" t="s">
        <v>4374</v>
      </c>
      <c r="J29" s="7" t="s">
        <v>3426</v>
      </c>
      <c r="K29" s="7" t="s">
        <v>4300</v>
      </c>
      <c r="L29" s="11" t="str">
        <f>HYPERLINK("http://slimages.macys.com/is/image/MCY/10681705 ")</f>
        <v xml:space="preserve">http://slimages.macys.com/is/image/MCY/10681705 </v>
      </c>
    </row>
    <row r="30" spans="1:12" ht="39.950000000000003" customHeight="1" x14ac:dyDescent="0.25">
      <c r="A30" s="6" t="s">
        <v>1756</v>
      </c>
      <c r="B30" s="7" t="s">
        <v>1757</v>
      </c>
      <c r="C30" s="8">
        <v>1</v>
      </c>
      <c r="D30" s="9">
        <v>19.989999999999998</v>
      </c>
      <c r="E30" s="8">
        <v>100071553</v>
      </c>
      <c r="F30" s="7" t="s">
        <v>3530</v>
      </c>
      <c r="G30" s="10"/>
      <c r="H30" s="7" t="s">
        <v>3513</v>
      </c>
      <c r="I30" s="7" t="s">
        <v>2579</v>
      </c>
      <c r="J30" s="7" t="s">
        <v>3426</v>
      </c>
      <c r="K30" s="7"/>
      <c r="L30" s="11" t="str">
        <f>HYPERLINK("http://slimages.macys.com/is/image/MCY/15101702 ")</f>
        <v xml:space="preserve">http://slimages.macys.com/is/image/MCY/15101702 </v>
      </c>
    </row>
    <row r="31" spans="1:12" ht="39.950000000000003" customHeight="1" x14ac:dyDescent="0.25">
      <c r="A31" s="6" t="s">
        <v>1758</v>
      </c>
      <c r="B31" s="7" t="s">
        <v>1759</v>
      </c>
      <c r="C31" s="8">
        <v>2</v>
      </c>
      <c r="D31" s="9">
        <v>29.98</v>
      </c>
      <c r="E31" s="8" t="s">
        <v>1760</v>
      </c>
      <c r="F31" s="7"/>
      <c r="G31" s="10"/>
      <c r="H31" s="7" t="s">
        <v>3478</v>
      </c>
      <c r="I31" s="7" t="s">
        <v>2572</v>
      </c>
      <c r="J31" s="7"/>
      <c r="K31" s="7"/>
      <c r="L31" s="11" t="str">
        <f>HYPERLINK("http://slimages.macys.com/is/image/MCY/17718768 ")</f>
        <v xml:space="preserve">http://slimages.macys.com/is/image/MCY/17718768 </v>
      </c>
    </row>
    <row r="32" spans="1:12" ht="39.950000000000003" customHeight="1" x14ac:dyDescent="0.25">
      <c r="A32" s="6" t="s">
        <v>3663</v>
      </c>
      <c r="B32" s="7" t="s">
        <v>3664</v>
      </c>
      <c r="C32" s="8">
        <v>1</v>
      </c>
      <c r="D32" s="9">
        <v>9.99</v>
      </c>
      <c r="E32" s="8" t="s">
        <v>3665</v>
      </c>
      <c r="F32" s="7" t="s">
        <v>3610</v>
      </c>
      <c r="G32" s="10"/>
      <c r="H32" s="7" t="s">
        <v>3525</v>
      </c>
      <c r="I32" s="7" t="s">
        <v>3612</v>
      </c>
      <c r="J32" s="7" t="s">
        <v>3613</v>
      </c>
      <c r="K32" s="7" t="s">
        <v>3666</v>
      </c>
      <c r="L32" s="11" t="str">
        <f>HYPERLINK("http://slimages.macys.com/is/image/MCY/2831820 ")</f>
        <v xml:space="preserve">http://slimages.macys.com/is/image/MCY/2831820 </v>
      </c>
    </row>
    <row r="33" spans="1:12" ht="39.950000000000003" customHeight="1" x14ac:dyDescent="0.25">
      <c r="A33" s="6" t="s">
        <v>4203</v>
      </c>
      <c r="B33" s="7" t="s">
        <v>4204</v>
      </c>
      <c r="C33" s="8">
        <v>2</v>
      </c>
      <c r="D33" s="9">
        <v>17.98</v>
      </c>
      <c r="E33" s="8">
        <v>1984</v>
      </c>
      <c r="F33" s="7" t="s">
        <v>3477</v>
      </c>
      <c r="G33" s="10" t="s">
        <v>4205</v>
      </c>
      <c r="H33" s="7" t="s">
        <v>3583</v>
      </c>
      <c r="I33" s="7" t="s">
        <v>4183</v>
      </c>
      <c r="J33" s="7" t="s">
        <v>3564</v>
      </c>
      <c r="K33" s="7" t="s">
        <v>4206</v>
      </c>
      <c r="L33" s="11" t="str">
        <f>HYPERLINK("http://slimages.macys.com/is/image/MCY/983590 ")</f>
        <v xml:space="preserve">http://slimages.macys.com/is/image/MCY/983590 </v>
      </c>
    </row>
    <row r="34" spans="1:12" ht="39.950000000000003" customHeight="1" x14ac:dyDescent="0.25">
      <c r="A34" s="6" t="s">
        <v>1761</v>
      </c>
      <c r="B34" s="7" t="s">
        <v>1762</v>
      </c>
      <c r="C34" s="8">
        <v>1</v>
      </c>
      <c r="D34" s="9">
        <v>5.99</v>
      </c>
      <c r="E34" s="8" t="s">
        <v>1763</v>
      </c>
      <c r="F34" s="7" t="s">
        <v>3431</v>
      </c>
      <c r="G34" s="10" t="s">
        <v>4031</v>
      </c>
      <c r="H34" s="7" t="s">
        <v>3654</v>
      </c>
      <c r="I34" s="7" t="s">
        <v>3840</v>
      </c>
      <c r="J34" s="7" t="s">
        <v>3426</v>
      </c>
      <c r="K34" s="7" t="s">
        <v>3492</v>
      </c>
      <c r="L34" s="11" t="str">
        <f>HYPERLINK("http://slimages.macys.com/is/image/MCY/12723265 ")</f>
        <v xml:space="preserve">http://slimages.macys.com/is/image/MCY/12723265 </v>
      </c>
    </row>
    <row r="35" spans="1:12" ht="39.950000000000003" customHeight="1" x14ac:dyDescent="0.25">
      <c r="A35" s="6" t="s">
        <v>1764</v>
      </c>
      <c r="B35" s="7" t="s">
        <v>1765</v>
      </c>
      <c r="C35" s="8">
        <v>1</v>
      </c>
      <c r="D35" s="9">
        <v>399.99</v>
      </c>
      <c r="E35" s="8" t="s">
        <v>1766</v>
      </c>
      <c r="F35" s="7" t="s">
        <v>3431</v>
      </c>
      <c r="G35" s="10"/>
      <c r="H35" s="7" t="s">
        <v>3695</v>
      </c>
      <c r="I35" s="7" t="s">
        <v>2909</v>
      </c>
      <c r="J35" s="7"/>
      <c r="K35" s="7"/>
      <c r="L35" s="11"/>
    </row>
    <row r="36" spans="1:12" ht="39.950000000000003" customHeight="1" x14ac:dyDescent="0.25">
      <c r="A36" s="6" t="s">
        <v>1767</v>
      </c>
      <c r="B36" s="7" t="s">
        <v>1768</v>
      </c>
      <c r="C36" s="8">
        <v>1</v>
      </c>
      <c r="D36" s="9">
        <v>179.99</v>
      </c>
      <c r="E36" s="8" t="s">
        <v>4260</v>
      </c>
      <c r="F36" s="7" t="s">
        <v>3445</v>
      </c>
      <c r="G36" s="10"/>
      <c r="H36" s="7" t="s">
        <v>3452</v>
      </c>
      <c r="I36" s="7" t="s">
        <v>3453</v>
      </c>
      <c r="J36" s="7"/>
      <c r="K36" s="7"/>
      <c r="L36" s="11"/>
    </row>
    <row r="37" spans="1:12" ht="39.950000000000003" customHeight="1" x14ac:dyDescent="0.25">
      <c r="A37" s="6" t="s">
        <v>3667</v>
      </c>
      <c r="B37" s="7" t="s">
        <v>3668</v>
      </c>
      <c r="C37" s="8">
        <v>5</v>
      </c>
      <c r="D37" s="9">
        <v>200</v>
      </c>
      <c r="E37" s="8"/>
      <c r="F37" s="7" t="s">
        <v>3610</v>
      </c>
      <c r="G37" s="10" t="s">
        <v>3489</v>
      </c>
      <c r="H37" s="7" t="s">
        <v>3669</v>
      </c>
      <c r="I37" s="7" t="s">
        <v>3670</v>
      </c>
      <c r="J37" s="7"/>
      <c r="K37" s="7"/>
      <c r="L37" s="11"/>
    </row>
    <row r="38" spans="1:12" ht="39.950000000000003" customHeight="1" x14ac:dyDescent="0.25">
      <c r="A38" s="6" t="s">
        <v>1769</v>
      </c>
      <c r="B38" s="7" t="s">
        <v>1770</v>
      </c>
      <c r="C38" s="8">
        <v>1</v>
      </c>
      <c r="D38" s="9">
        <v>49.99</v>
      </c>
      <c r="E38" s="8">
        <v>22362238</v>
      </c>
      <c r="F38" s="7" t="s">
        <v>3463</v>
      </c>
      <c r="G38" s="10"/>
      <c r="H38" s="7" t="s">
        <v>3542</v>
      </c>
      <c r="I38" s="7" t="s">
        <v>3517</v>
      </c>
      <c r="J38" s="7"/>
      <c r="K38" s="7"/>
      <c r="L38" s="11"/>
    </row>
    <row r="39" spans="1:12" ht="39.950000000000003" customHeight="1" x14ac:dyDescent="0.25">
      <c r="A39" s="6" t="s">
        <v>1771</v>
      </c>
      <c r="B39" s="7" t="s">
        <v>1772</v>
      </c>
      <c r="C39" s="8">
        <v>3</v>
      </c>
      <c r="D39" s="9">
        <v>75</v>
      </c>
      <c r="E39" s="8">
        <v>56899</v>
      </c>
      <c r="F39" s="7" t="s">
        <v>3535</v>
      </c>
      <c r="G39" s="10"/>
      <c r="H39" s="7" t="s">
        <v>3490</v>
      </c>
      <c r="I39" s="7" t="s">
        <v>3649</v>
      </c>
      <c r="J39" s="7"/>
      <c r="K39" s="7"/>
      <c r="L39" s="11"/>
    </row>
    <row r="40" spans="1:12" ht="39.950000000000003" customHeight="1" x14ac:dyDescent="0.25">
      <c r="A40" s="6"/>
      <c r="B40" s="7"/>
      <c r="C40" s="8"/>
      <c r="D40" s="9"/>
      <c r="E40" s="8"/>
      <c r="F40" s="7"/>
      <c r="G40" s="10"/>
      <c r="H40" s="7"/>
      <c r="I40" s="7"/>
      <c r="J40" s="7"/>
      <c r="K40" s="7"/>
      <c r="L40" s="11"/>
    </row>
    <row r="41" spans="1:12" ht="39.950000000000003" customHeight="1" x14ac:dyDescent="0.25">
      <c r="A41" s="6"/>
      <c r="B41" s="7"/>
      <c r="C41" s="8"/>
      <c r="D41" s="9"/>
      <c r="E41" s="8"/>
      <c r="F41" s="7"/>
      <c r="G41" s="10"/>
      <c r="H41" s="7"/>
      <c r="I41" s="7"/>
      <c r="J41" s="7"/>
      <c r="K41" s="7"/>
      <c r="L41" s="11"/>
    </row>
    <row r="42" spans="1:12" ht="39.950000000000003" customHeight="1" x14ac:dyDescent="0.25">
      <c r="A42" s="6"/>
      <c r="B42" s="7"/>
      <c r="C42" s="8"/>
      <c r="D42" s="9"/>
      <c r="E42" s="8"/>
      <c r="F42" s="7"/>
      <c r="G42" s="10"/>
      <c r="H42" s="7"/>
      <c r="I42" s="7"/>
      <c r="J42" s="7"/>
      <c r="K42" s="7"/>
      <c r="L42" s="11"/>
    </row>
    <row r="43" spans="1:12" ht="39.950000000000003" customHeight="1" x14ac:dyDescent="0.25">
      <c r="A43" s="6"/>
      <c r="B43" s="7"/>
      <c r="C43" s="8"/>
      <c r="D43" s="9"/>
      <c r="E43" s="8"/>
      <c r="F43" s="7"/>
      <c r="G43" s="10"/>
      <c r="H43" s="7"/>
      <c r="I43" s="7"/>
      <c r="J43" s="7"/>
      <c r="K43" s="7"/>
      <c r="L43" s="11"/>
    </row>
    <row r="44" spans="1:12" ht="39.950000000000003" customHeight="1" x14ac:dyDescent="0.25">
      <c r="A44" s="6"/>
      <c r="B44" s="7"/>
      <c r="C44" s="8"/>
      <c r="D44" s="9"/>
      <c r="E44" s="8"/>
      <c r="F44" s="7"/>
      <c r="G44" s="10"/>
      <c r="H44" s="7"/>
      <c r="I44" s="7"/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1773</v>
      </c>
      <c r="B2" s="7" t="s">
        <v>1774</v>
      </c>
      <c r="C2" s="8">
        <v>1</v>
      </c>
      <c r="D2" s="9">
        <v>349.99</v>
      </c>
      <c r="E2" s="8" t="s">
        <v>1775</v>
      </c>
      <c r="F2" s="7" t="s">
        <v>3438</v>
      </c>
      <c r="G2" s="10"/>
      <c r="H2" s="7" t="s">
        <v>3688</v>
      </c>
      <c r="I2" s="7" t="s">
        <v>3871</v>
      </c>
      <c r="J2" s="7" t="s">
        <v>3426</v>
      </c>
      <c r="K2" s="7"/>
      <c r="L2" s="11" t="str">
        <f>HYPERLINK("http://slimages.macys.com/is/image/MCY/8437860 ")</f>
        <v xml:space="preserve">http://slimages.macys.com/is/image/MCY/8437860 </v>
      </c>
    </row>
    <row r="3" spans="1:12" ht="39.950000000000003" customHeight="1" x14ac:dyDescent="0.25">
      <c r="A3" s="6" t="s">
        <v>1776</v>
      </c>
      <c r="B3" s="7" t="s">
        <v>1777</v>
      </c>
      <c r="C3" s="8">
        <v>1</v>
      </c>
      <c r="D3" s="9">
        <v>249.99</v>
      </c>
      <c r="E3" s="8">
        <v>61534</v>
      </c>
      <c r="F3" s="7" t="s">
        <v>3445</v>
      </c>
      <c r="G3" s="10"/>
      <c r="H3" s="7" t="s">
        <v>3559</v>
      </c>
      <c r="I3" s="7" t="s">
        <v>3560</v>
      </c>
      <c r="J3" s="7" t="s">
        <v>3426</v>
      </c>
      <c r="K3" s="7" t="s">
        <v>3518</v>
      </c>
      <c r="L3" s="11" t="str">
        <f>HYPERLINK("http://slimages.macys.com/is/image/MCY/15866386 ")</f>
        <v xml:space="preserve">http://slimages.macys.com/is/image/MCY/15866386 </v>
      </c>
    </row>
    <row r="4" spans="1:12" ht="39.950000000000003" customHeight="1" x14ac:dyDescent="0.25">
      <c r="A4" s="6" t="s">
        <v>1778</v>
      </c>
      <c r="B4" s="7" t="s">
        <v>1779</v>
      </c>
      <c r="C4" s="8">
        <v>1</v>
      </c>
      <c r="D4" s="9">
        <v>550</v>
      </c>
      <c r="E4" s="8">
        <v>99070</v>
      </c>
      <c r="F4" s="7" t="s">
        <v>3445</v>
      </c>
      <c r="G4" s="10" t="s">
        <v>3127</v>
      </c>
      <c r="H4" s="7" t="s">
        <v>3676</v>
      </c>
      <c r="I4" s="7" t="s">
        <v>1780</v>
      </c>
      <c r="J4" s="7" t="s">
        <v>3564</v>
      </c>
      <c r="K4" s="7" t="s">
        <v>1781</v>
      </c>
      <c r="L4" s="11" t="str">
        <f>HYPERLINK("http://images.bloomingdales.com/is/image/BLM/10484918 ")</f>
        <v xml:space="preserve">http://images.bloomingdales.com/is/image/BLM/10484918 </v>
      </c>
    </row>
    <row r="5" spans="1:12" ht="39.950000000000003" customHeight="1" x14ac:dyDescent="0.25">
      <c r="A5" s="6" t="s">
        <v>1782</v>
      </c>
      <c r="B5" s="7" t="s">
        <v>1783</v>
      </c>
      <c r="C5" s="8">
        <v>1</v>
      </c>
      <c r="D5" s="9">
        <v>299.99</v>
      </c>
      <c r="E5" s="8" t="s">
        <v>1784</v>
      </c>
      <c r="F5" s="7" t="s">
        <v>3463</v>
      </c>
      <c r="G5" s="10" t="s">
        <v>3439</v>
      </c>
      <c r="H5" s="7" t="s">
        <v>3440</v>
      </c>
      <c r="I5" s="7" t="s">
        <v>3441</v>
      </c>
      <c r="J5" s="7" t="s">
        <v>3426</v>
      </c>
      <c r="K5" s="7" t="s">
        <v>1785</v>
      </c>
      <c r="L5" s="11" t="str">
        <f>HYPERLINK("http://slimages.macys.com/is/image/MCY/15299419 ")</f>
        <v xml:space="preserve">http://slimages.macys.com/is/image/MCY/15299419 </v>
      </c>
    </row>
    <row r="6" spans="1:12" ht="39.950000000000003" customHeight="1" x14ac:dyDescent="0.25">
      <c r="A6" s="6" t="s">
        <v>1786</v>
      </c>
      <c r="B6" s="7" t="s">
        <v>1787</v>
      </c>
      <c r="C6" s="8">
        <v>1</v>
      </c>
      <c r="D6" s="9">
        <v>214.99</v>
      </c>
      <c r="E6" s="8" t="s">
        <v>1788</v>
      </c>
      <c r="F6" s="7" t="s">
        <v>3463</v>
      </c>
      <c r="G6" s="10"/>
      <c r="H6" s="7" t="s">
        <v>3478</v>
      </c>
      <c r="I6" s="7" t="s">
        <v>3553</v>
      </c>
      <c r="J6" s="7" t="s">
        <v>3426</v>
      </c>
      <c r="K6" s="7" t="s">
        <v>3518</v>
      </c>
      <c r="L6" s="11" t="str">
        <f>HYPERLINK("http://slimages.macys.com/is/image/MCY/9566749 ")</f>
        <v xml:space="preserve">http://slimages.macys.com/is/image/MCY/9566749 </v>
      </c>
    </row>
    <row r="7" spans="1:12" ht="39.950000000000003" customHeight="1" x14ac:dyDescent="0.25">
      <c r="A7" s="6" t="s">
        <v>1789</v>
      </c>
      <c r="B7" s="7" t="s">
        <v>1790</v>
      </c>
      <c r="C7" s="8">
        <v>1</v>
      </c>
      <c r="D7" s="9">
        <v>179.99</v>
      </c>
      <c r="E7" s="8">
        <v>61134</v>
      </c>
      <c r="F7" s="7" t="s">
        <v>3445</v>
      </c>
      <c r="G7" s="10"/>
      <c r="H7" s="7" t="s">
        <v>3559</v>
      </c>
      <c r="I7" s="7" t="s">
        <v>3560</v>
      </c>
      <c r="J7" s="7" t="s">
        <v>3426</v>
      </c>
      <c r="K7" s="7" t="s">
        <v>3518</v>
      </c>
      <c r="L7" s="11" t="str">
        <f>HYPERLINK("http://slimages.macys.com/is/image/MCY/15866429 ")</f>
        <v xml:space="preserve">http://slimages.macys.com/is/image/MCY/15866429 </v>
      </c>
    </row>
    <row r="8" spans="1:12" ht="39.950000000000003" customHeight="1" x14ac:dyDescent="0.25">
      <c r="A8" s="6" t="s">
        <v>1791</v>
      </c>
      <c r="B8" s="7" t="s">
        <v>1792</v>
      </c>
      <c r="C8" s="8">
        <v>1</v>
      </c>
      <c r="D8" s="9">
        <v>340</v>
      </c>
      <c r="E8" s="8" t="s">
        <v>1793</v>
      </c>
      <c r="F8" s="7" t="s">
        <v>3530</v>
      </c>
      <c r="G8" s="10"/>
      <c r="H8" s="7" t="s">
        <v>3440</v>
      </c>
      <c r="I8" s="7" t="s">
        <v>1794</v>
      </c>
      <c r="J8" s="7" t="s">
        <v>3613</v>
      </c>
      <c r="K8" s="7" t="s">
        <v>1795</v>
      </c>
      <c r="L8" s="11" t="str">
        <f>HYPERLINK("http://images.bloomingdales.com/is/image/BLM/9688749 ")</f>
        <v xml:space="preserve">http://images.bloomingdales.com/is/image/BLM/9688749 </v>
      </c>
    </row>
    <row r="9" spans="1:12" ht="39.950000000000003" customHeight="1" x14ac:dyDescent="0.25">
      <c r="A9" s="6" t="s">
        <v>3710</v>
      </c>
      <c r="B9" s="7" t="s">
        <v>3711</v>
      </c>
      <c r="C9" s="8">
        <v>1</v>
      </c>
      <c r="D9" s="9">
        <v>179.99</v>
      </c>
      <c r="E9" s="8" t="s">
        <v>3712</v>
      </c>
      <c r="F9" s="7" t="s">
        <v>3541</v>
      </c>
      <c r="G9" s="10"/>
      <c r="H9" s="7" t="s">
        <v>3478</v>
      </c>
      <c r="I9" s="7" t="s">
        <v>3553</v>
      </c>
      <c r="J9" s="7" t="s">
        <v>3426</v>
      </c>
      <c r="K9" s="7" t="s">
        <v>3518</v>
      </c>
      <c r="L9" s="11" t="str">
        <f>HYPERLINK("http://slimages.macys.com/is/image/MCY/16736369 ")</f>
        <v xml:space="preserve">http://slimages.macys.com/is/image/MCY/16736369 </v>
      </c>
    </row>
    <row r="10" spans="1:12" ht="39.950000000000003" customHeight="1" x14ac:dyDescent="0.25">
      <c r="A10" s="6" t="s">
        <v>1796</v>
      </c>
      <c r="B10" s="7" t="s">
        <v>1797</v>
      </c>
      <c r="C10" s="8">
        <v>1</v>
      </c>
      <c r="D10" s="9">
        <v>199.99</v>
      </c>
      <c r="E10" s="8" t="s">
        <v>1798</v>
      </c>
      <c r="F10" s="7" t="s">
        <v>3445</v>
      </c>
      <c r="G10" s="10"/>
      <c r="H10" s="7" t="s">
        <v>3440</v>
      </c>
      <c r="I10" s="7" t="s">
        <v>3683</v>
      </c>
      <c r="J10" s="7" t="s">
        <v>3426</v>
      </c>
      <c r="K10" s="7" t="s">
        <v>1799</v>
      </c>
      <c r="L10" s="11" t="str">
        <f>HYPERLINK("http://slimages.macys.com/is/image/MCY/9353024 ")</f>
        <v xml:space="preserve">http://slimages.macys.com/is/image/MCY/9353024 </v>
      </c>
    </row>
    <row r="11" spans="1:12" ht="39.950000000000003" customHeight="1" x14ac:dyDescent="0.25">
      <c r="A11" s="6" t="s">
        <v>1800</v>
      </c>
      <c r="B11" s="7" t="s">
        <v>1801</v>
      </c>
      <c r="C11" s="8">
        <v>1</v>
      </c>
      <c r="D11" s="9">
        <v>169.99</v>
      </c>
      <c r="E11" s="8" t="s">
        <v>1802</v>
      </c>
      <c r="F11" s="7" t="s">
        <v>3445</v>
      </c>
      <c r="G11" s="10"/>
      <c r="H11" s="7" t="s">
        <v>3458</v>
      </c>
      <c r="I11" s="7" t="s">
        <v>1697</v>
      </c>
      <c r="J11" s="7"/>
      <c r="K11" s="7"/>
      <c r="L11" s="11" t="str">
        <f>HYPERLINK("http://slimages.macys.com/is/image/MCY/17424765 ")</f>
        <v xml:space="preserve">http://slimages.macys.com/is/image/MCY/17424765 </v>
      </c>
    </row>
    <row r="12" spans="1:12" ht="39.950000000000003" customHeight="1" x14ac:dyDescent="0.25">
      <c r="A12" s="6" t="s">
        <v>1803</v>
      </c>
      <c r="B12" s="7" t="s">
        <v>1804</v>
      </c>
      <c r="C12" s="8">
        <v>1</v>
      </c>
      <c r="D12" s="9">
        <v>540</v>
      </c>
      <c r="E12" s="8" t="s">
        <v>1805</v>
      </c>
      <c r="F12" s="7" t="s">
        <v>3445</v>
      </c>
      <c r="G12" s="10" t="s">
        <v>3547</v>
      </c>
      <c r="H12" s="7" t="s">
        <v>3525</v>
      </c>
      <c r="I12" s="7" t="s">
        <v>1806</v>
      </c>
      <c r="J12" s="7" t="s">
        <v>3564</v>
      </c>
      <c r="K12" s="7" t="s">
        <v>1807</v>
      </c>
      <c r="L12" s="11" t="str">
        <f>HYPERLINK("http://images.bloomingdales.com/is/image/BLM/11029913 ")</f>
        <v xml:space="preserve">http://images.bloomingdales.com/is/image/BLM/11029913 </v>
      </c>
    </row>
    <row r="13" spans="1:12" ht="39.950000000000003" customHeight="1" x14ac:dyDescent="0.25">
      <c r="A13" s="6" t="s">
        <v>1808</v>
      </c>
      <c r="B13" s="7" t="s">
        <v>1809</v>
      </c>
      <c r="C13" s="8">
        <v>1</v>
      </c>
      <c r="D13" s="9">
        <v>119.99</v>
      </c>
      <c r="E13" s="8" t="s">
        <v>1810</v>
      </c>
      <c r="F13" s="7" t="s">
        <v>4096</v>
      </c>
      <c r="G13" s="10"/>
      <c r="H13" s="7" t="s">
        <v>3424</v>
      </c>
      <c r="I13" s="7" t="s">
        <v>1811</v>
      </c>
      <c r="J13" s="7" t="s">
        <v>3426</v>
      </c>
      <c r="K13" s="7" t="s">
        <v>1812</v>
      </c>
      <c r="L13" s="11" t="str">
        <f>HYPERLINK("http://slimages.macys.com/is/image/MCY/8398063 ")</f>
        <v xml:space="preserve">http://slimages.macys.com/is/image/MCY/8398063 </v>
      </c>
    </row>
    <row r="14" spans="1:12" ht="39.950000000000003" customHeight="1" x14ac:dyDescent="0.25">
      <c r="A14" s="6" t="s">
        <v>3894</v>
      </c>
      <c r="B14" s="7" t="s">
        <v>3895</v>
      </c>
      <c r="C14" s="8">
        <v>1</v>
      </c>
      <c r="D14" s="9">
        <v>179.99</v>
      </c>
      <c r="E14" s="8" t="s">
        <v>3896</v>
      </c>
      <c r="F14" s="7" t="s">
        <v>3431</v>
      </c>
      <c r="G14" s="10"/>
      <c r="H14" s="7" t="s">
        <v>3572</v>
      </c>
      <c r="I14" s="7" t="s">
        <v>3897</v>
      </c>
      <c r="J14" s="7"/>
      <c r="K14" s="7"/>
      <c r="L14" s="11" t="str">
        <f>HYPERLINK("http://slimages.macys.com/is/image/MCY/16792609 ")</f>
        <v xml:space="preserve">http://slimages.macys.com/is/image/MCY/16792609 </v>
      </c>
    </row>
    <row r="15" spans="1:12" ht="39.950000000000003" customHeight="1" x14ac:dyDescent="0.25">
      <c r="A15" s="6" t="s">
        <v>1813</v>
      </c>
      <c r="B15" s="7" t="s">
        <v>1814</v>
      </c>
      <c r="C15" s="8">
        <v>1</v>
      </c>
      <c r="D15" s="9">
        <v>120</v>
      </c>
      <c r="E15" s="8" t="s">
        <v>1815</v>
      </c>
      <c r="F15" s="7" t="s">
        <v>3445</v>
      </c>
      <c r="G15" s="10" t="s">
        <v>3127</v>
      </c>
      <c r="H15" s="7" t="s">
        <v>3525</v>
      </c>
      <c r="I15" s="7" t="s">
        <v>1816</v>
      </c>
      <c r="J15" s="7" t="s">
        <v>1817</v>
      </c>
      <c r="K15" s="7" t="s">
        <v>1818</v>
      </c>
      <c r="L15" s="11" t="str">
        <f>HYPERLINK("http://images.bloomingdales.com/is/image/BLM/9359241 ")</f>
        <v xml:space="preserve">http://images.bloomingdales.com/is/image/BLM/9359241 </v>
      </c>
    </row>
    <row r="16" spans="1:12" ht="39.950000000000003" customHeight="1" x14ac:dyDescent="0.25">
      <c r="A16" s="6" t="s">
        <v>3464</v>
      </c>
      <c r="B16" s="7" t="s">
        <v>3465</v>
      </c>
      <c r="C16" s="8">
        <v>1</v>
      </c>
      <c r="D16" s="9">
        <v>119.99</v>
      </c>
      <c r="E16" s="8" t="s">
        <v>3466</v>
      </c>
      <c r="F16" s="7" t="s">
        <v>3445</v>
      </c>
      <c r="G16" s="10"/>
      <c r="H16" s="7" t="s">
        <v>3467</v>
      </c>
      <c r="I16" s="7" t="s">
        <v>4333</v>
      </c>
      <c r="J16" s="7" t="s">
        <v>3426</v>
      </c>
      <c r="K16" s="7" t="s">
        <v>3469</v>
      </c>
      <c r="L16" s="11" t="str">
        <f>HYPERLINK("http://slimages.macys.com/is/image/MCY/13417209 ")</f>
        <v xml:space="preserve">http://slimages.macys.com/is/image/MCY/13417209 </v>
      </c>
    </row>
    <row r="17" spans="1:12" ht="39.950000000000003" customHeight="1" x14ac:dyDescent="0.25">
      <c r="A17" s="6" t="s">
        <v>1819</v>
      </c>
      <c r="B17" s="7" t="s">
        <v>1820</v>
      </c>
      <c r="C17" s="8">
        <v>1</v>
      </c>
      <c r="D17" s="9">
        <v>250</v>
      </c>
      <c r="E17" s="8">
        <v>91427</v>
      </c>
      <c r="F17" s="7" t="s">
        <v>3445</v>
      </c>
      <c r="G17" s="10" t="s">
        <v>3439</v>
      </c>
      <c r="H17" s="7" t="s">
        <v>3676</v>
      </c>
      <c r="I17" s="7" t="s">
        <v>1780</v>
      </c>
      <c r="J17" s="7" t="s">
        <v>3613</v>
      </c>
      <c r="K17" s="7" t="s">
        <v>1821</v>
      </c>
      <c r="L17" s="11" t="str">
        <f>HYPERLINK("http://images.bloomingdales.com/is/image/BLM/10727179 ")</f>
        <v xml:space="preserve">http://images.bloomingdales.com/is/image/BLM/10727179 </v>
      </c>
    </row>
    <row r="18" spans="1:12" ht="39.950000000000003" customHeight="1" x14ac:dyDescent="0.25">
      <c r="A18" s="6" t="s">
        <v>1822</v>
      </c>
      <c r="B18" s="7" t="s">
        <v>1823</v>
      </c>
      <c r="C18" s="8">
        <v>1</v>
      </c>
      <c r="D18" s="9">
        <v>110</v>
      </c>
      <c r="E18" s="8" t="s">
        <v>1824</v>
      </c>
      <c r="F18" s="7"/>
      <c r="G18" s="10"/>
      <c r="H18" s="7" t="s">
        <v>3478</v>
      </c>
      <c r="I18" s="7" t="s">
        <v>2572</v>
      </c>
      <c r="J18" s="7"/>
      <c r="K18" s="7"/>
      <c r="L18" s="11" t="str">
        <f>HYPERLINK("http://slimages.macys.com/is/image/MCY/17588703 ")</f>
        <v xml:space="preserve">http://slimages.macys.com/is/image/MCY/17588703 </v>
      </c>
    </row>
    <row r="19" spans="1:12" ht="39.950000000000003" customHeight="1" x14ac:dyDescent="0.25">
      <c r="A19" s="6" t="s">
        <v>4078</v>
      </c>
      <c r="B19" s="7" t="s">
        <v>4079</v>
      </c>
      <c r="C19" s="8">
        <v>1</v>
      </c>
      <c r="D19" s="9">
        <v>109.99</v>
      </c>
      <c r="E19" s="8" t="s">
        <v>4080</v>
      </c>
      <c r="F19" s="7" t="s">
        <v>3431</v>
      </c>
      <c r="G19" s="10"/>
      <c r="H19" s="7" t="s">
        <v>3478</v>
      </c>
      <c r="I19" s="7" t="s">
        <v>3553</v>
      </c>
      <c r="J19" s="7" t="s">
        <v>3426</v>
      </c>
      <c r="K19" s="7" t="s">
        <v>3518</v>
      </c>
      <c r="L19" s="11" t="str">
        <f>HYPERLINK("http://slimages.macys.com/is/image/MCY/16650276 ")</f>
        <v xml:space="preserve">http://slimages.macys.com/is/image/MCY/16650276 </v>
      </c>
    </row>
    <row r="20" spans="1:12" ht="39.950000000000003" customHeight="1" x14ac:dyDescent="0.25">
      <c r="A20" s="6" t="s">
        <v>1825</v>
      </c>
      <c r="B20" s="7" t="s">
        <v>1826</v>
      </c>
      <c r="C20" s="8">
        <v>1</v>
      </c>
      <c r="D20" s="9">
        <v>99.99</v>
      </c>
      <c r="E20" s="8" t="s">
        <v>2921</v>
      </c>
      <c r="F20" s="7" t="s">
        <v>3445</v>
      </c>
      <c r="G20" s="10"/>
      <c r="H20" s="7" t="s">
        <v>3467</v>
      </c>
      <c r="I20" s="7" t="s">
        <v>2922</v>
      </c>
      <c r="J20" s="7" t="s">
        <v>3613</v>
      </c>
      <c r="K20" s="7" t="s">
        <v>2923</v>
      </c>
      <c r="L20" s="11" t="str">
        <f>HYPERLINK("http://slimages.macys.com/is/image/MCY/11640418 ")</f>
        <v xml:space="preserve">http://slimages.macys.com/is/image/MCY/11640418 </v>
      </c>
    </row>
    <row r="21" spans="1:12" ht="39.950000000000003" customHeight="1" x14ac:dyDescent="0.25">
      <c r="A21" s="6" t="s">
        <v>1827</v>
      </c>
      <c r="B21" s="7" t="s">
        <v>1828</v>
      </c>
      <c r="C21" s="8">
        <v>1</v>
      </c>
      <c r="D21" s="9">
        <v>199.99</v>
      </c>
      <c r="E21" s="8" t="s">
        <v>1829</v>
      </c>
      <c r="F21" s="7" t="s">
        <v>3445</v>
      </c>
      <c r="G21" s="10" t="s">
        <v>3947</v>
      </c>
      <c r="H21" s="7" t="s">
        <v>3440</v>
      </c>
      <c r="I21" s="7" t="s">
        <v>1830</v>
      </c>
      <c r="J21" s="7" t="s">
        <v>3426</v>
      </c>
      <c r="K21" s="7" t="s">
        <v>3949</v>
      </c>
      <c r="L21" s="11" t="str">
        <f>HYPERLINK("http://slimages.macys.com/is/image/MCY/8820200 ")</f>
        <v xml:space="preserve">http://slimages.macys.com/is/image/MCY/8820200 </v>
      </c>
    </row>
    <row r="22" spans="1:12" ht="39.950000000000003" customHeight="1" x14ac:dyDescent="0.25">
      <c r="A22" s="6" t="s">
        <v>1831</v>
      </c>
      <c r="B22" s="7" t="s">
        <v>1832</v>
      </c>
      <c r="C22" s="8">
        <v>1</v>
      </c>
      <c r="D22" s="9">
        <v>200</v>
      </c>
      <c r="E22" s="8" t="s">
        <v>1833</v>
      </c>
      <c r="F22" s="7" t="s">
        <v>4167</v>
      </c>
      <c r="G22" s="10"/>
      <c r="H22" s="7" t="s">
        <v>3467</v>
      </c>
      <c r="I22" s="7" t="s">
        <v>3077</v>
      </c>
      <c r="J22" s="7" t="s">
        <v>3613</v>
      </c>
      <c r="K22" s="7" t="s">
        <v>3492</v>
      </c>
      <c r="L22" s="11" t="str">
        <f>HYPERLINK("http://images.bloomingdales.com/is/image/BLM/11020171 ")</f>
        <v xml:space="preserve">http://images.bloomingdales.com/is/image/BLM/11020171 </v>
      </c>
    </row>
    <row r="23" spans="1:12" ht="39.950000000000003" customHeight="1" x14ac:dyDescent="0.25">
      <c r="A23" s="6" t="s">
        <v>1705</v>
      </c>
      <c r="B23" s="7" t="s">
        <v>1706</v>
      </c>
      <c r="C23" s="8">
        <v>1</v>
      </c>
      <c r="D23" s="9">
        <v>129.99</v>
      </c>
      <c r="E23" s="8" t="s">
        <v>1707</v>
      </c>
      <c r="F23" s="7" t="s">
        <v>3720</v>
      </c>
      <c r="G23" s="10"/>
      <c r="H23" s="7" t="s">
        <v>3458</v>
      </c>
      <c r="I23" s="7" t="s">
        <v>3459</v>
      </c>
      <c r="J23" s="7" t="s">
        <v>3426</v>
      </c>
      <c r="K23" s="7" t="s">
        <v>1556</v>
      </c>
      <c r="L23" s="11" t="str">
        <f>HYPERLINK("http://slimages.macys.com/is/image/MCY/15862594 ")</f>
        <v xml:space="preserve">http://slimages.macys.com/is/image/MCY/15862594 </v>
      </c>
    </row>
    <row r="24" spans="1:12" ht="39.950000000000003" customHeight="1" x14ac:dyDescent="0.25">
      <c r="A24" s="6" t="s">
        <v>1834</v>
      </c>
      <c r="B24" s="7" t="s">
        <v>1835</v>
      </c>
      <c r="C24" s="8">
        <v>1</v>
      </c>
      <c r="D24" s="9">
        <v>77.989999999999995</v>
      </c>
      <c r="E24" s="8" t="s">
        <v>1836</v>
      </c>
      <c r="F24" s="7" t="s">
        <v>3804</v>
      </c>
      <c r="G24" s="10" t="s">
        <v>4383</v>
      </c>
      <c r="H24" s="7" t="s">
        <v>3490</v>
      </c>
      <c r="I24" s="7" t="s">
        <v>3734</v>
      </c>
      <c r="J24" s="7" t="s">
        <v>3426</v>
      </c>
      <c r="K24" s="7" t="s">
        <v>3518</v>
      </c>
      <c r="L24" s="11" t="str">
        <f>HYPERLINK("http://slimages.macys.com/is/image/MCY/16494319 ")</f>
        <v xml:space="preserve">http://slimages.macys.com/is/image/MCY/16494319 </v>
      </c>
    </row>
    <row r="25" spans="1:12" ht="39.950000000000003" customHeight="1" x14ac:dyDescent="0.25">
      <c r="A25" s="6" t="s">
        <v>1837</v>
      </c>
      <c r="B25" s="7" t="s">
        <v>1838</v>
      </c>
      <c r="C25" s="8">
        <v>1</v>
      </c>
      <c r="D25" s="9">
        <v>129.99</v>
      </c>
      <c r="E25" s="8" t="s">
        <v>1839</v>
      </c>
      <c r="F25" s="7" t="s">
        <v>3445</v>
      </c>
      <c r="G25" s="10"/>
      <c r="H25" s="7" t="s">
        <v>3572</v>
      </c>
      <c r="I25" s="7" t="s">
        <v>3897</v>
      </c>
      <c r="J25" s="7"/>
      <c r="K25" s="7"/>
      <c r="L25" s="11" t="str">
        <f>HYPERLINK("http://slimages.macys.com/is/image/MCY/16792618 ")</f>
        <v xml:space="preserve">http://slimages.macys.com/is/image/MCY/16792618 </v>
      </c>
    </row>
    <row r="26" spans="1:12" ht="39.950000000000003" customHeight="1" x14ac:dyDescent="0.25">
      <c r="A26" s="6" t="s">
        <v>1840</v>
      </c>
      <c r="B26" s="7" t="s">
        <v>1841</v>
      </c>
      <c r="C26" s="8">
        <v>1</v>
      </c>
      <c r="D26" s="9">
        <v>69.989999999999995</v>
      </c>
      <c r="E26" s="8" t="s">
        <v>1842</v>
      </c>
      <c r="F26" s="7" t="s">
        <v>3496</v>
      </c>
      <c r="G26" s="10"/>
      <c r="H26" s="7" t="s">
        <v>3452</v>
      </c>
      <c r="I26" s="7" t="s">
        <v>3834</v>
      </c>
      <c r="J26" s="7" t="s">
        <v>3426</v>
      </c>
      <c r="K26" s="7" t="s">
        <v>3556</v>
      </c>
      <c r="L26" s="11" t="str">
        <f>HYPERLINK("http://slimages.macys.com/is/image/MCY/17754899 ")</f>
        <v xml:space="preserve">http://slimages.macys.com/is/image/MCY/17754899 </v>
      </c>
    </row>
    <row r="27" spans="1:12" ht="39.950000000000003" customHeight="1" x14ac:dyDescent="0.25">
      <c r="A27" s="6" t="s">
        <v>1843</v>
      </c>
      <c r="B27" s="7" t="s">
        <v>1844</v>
      </c>
      <c r="C27" s="8">
        <v>1</v>
      </c>
      <c r="D27" s="9">
        <v>190</v>
      </c>
      <c r="E27" s="8" t="s">
        <v>1845</v>
      </c>
      <c r="F27" s="7" t="s">
        <v>3445</v>
      </c>
      <c r="G27" s="10"/>
      <c r="H27" s="7" t="s">
        <v>3525</v>
      </c>
      <c r="I27" s="7" t="s">
        <v>3996</v>
      </c>
      <c r="J27" s="7" t="s">
        <v>3564</v>
      </c>
      <c r="K27" s="7"/>
      <c r="L27" s="11" t="str">
        <f>HYPERLINK("http://images.bloomingdales.com/is/image/BLM/10265447 ")</f>
        <v xml:space="preserve">http://images.bloomingdales.com/is/image/BLM/10265447 </v>
      </c>
    </row>
    <row r="28" spans="1:12" ht="39.950000000000003" customHeight="1" x14ac:dyDescent="0.25">
      <c r="A28" s="6" t="s">
        <v>1846</v>
      </c>
      <c r="B28" s="7" t="s">
        <v>1847</v>
      </c>
      <c r="C28" s="8">
        <v>1</v>
      </c>
      <c r="D28" s="9">
        <v>60.99</v>
      </c>
      <c r="E28" s="8" t="s">
        <v>1848</v>
      </c>
      <c r="F28" s="7" t="s">
        <v>3445</v>
      </c>
      <c r="G28" s="10" t="s">
        <v>3547</v>
      </c>
      <c r="H28" s="7" t="s">
        <v>3559</v>
      </c>
      <c r="I28" s="7" t="s">
        <v>3756</v>
      </c>
      <c r="J28" s="7" t="s">
        <v>3601</v>
      </c>
      <c r="K28" s="7" t="s">
        <v>1849</v>
      </c>
      <c r="L28" s="11" t="str">
        <f>HYPERLINK("http://slimages.macys.com/is/image/MCY/11798904 ")</f>
        <v xml:space="preserve">http://slimages.macys.com/is/image/MCY/11798904 </v>
      </c>
    </row>
    <row r="29" spans="1:12" ht="39.950000000000003" customHeight="1" x14ac:dyDescent="0.25">
      <c r="A29" s="6" t="s">
        <v>1850</v>
      </c>
      <c r="B29" s="7" t="s">
        <v>1851</v>
      </c>
      <c r="C29" s="8">
        <v>1</v>
      </c>
      <c r="D29" s="9">
        <v>99.99</v>
      </c>
      <c r="E29" s="8" t="s">
        <v>1852</v>
      </c>
      <c r="F29" s="7" t="s">
        <v>3431</v>
      </c>
      <c r="G29" s="10"/>
      <c r="H29" s="7" t="s">
        <v>3572</v>
      </c>
      <c r="I29" s="7" t="s">
        <v>3724</v>
      </c>
      <c r="J29" s="7" t="s">
        <v>3426</v>
      </c>
      <c r="K29" s="7"/>
      <c r="L29" s="11" t="str">
        <f>HYPERLINK("http://slimages.macys.com/is/image/MCY/16384053 ")</f>
        <v xml:space="preserve">http://slimages.macys.com/is/image/MCY/16384053 </v>
      </c>
    </row>
    <row r="30" spans="1:12" ht="39.950000000000003" customHeight="1" x14ac:dyDescent="0.25">
      <c r="A30" s="6" t="s">
        <v>2801</v>
      </c>
      <c r="B30" s="7" t="s">
        <v>2802</v>
      </c>
      <c r="C30" s="8">
        <v>1</v>
      </c>
      <c r="D30" s="9">
        <v>49.99</v>
      </c>
      <c r="E30" s="8" t="s">
        <v>2803</v>
      </c>
      <c r="F30" s="7" t="s">
        <v>3445</v>
      </c>
      <c r="G30" s="10"/>
      <c r="H30" s="7" t="s">
        <v>3478</v>
      </c>
      <c r="I30" s="7" t="s">
        <v>3517</v>
      </c>
      <c r="J30" s="7" t="s">
        <v>3426</v>
      </c>
      <c r="K30" s="7" t="s">
        <v>3592</v>
      </c>
      <c r="L30" s="11" t="str">
        <f>HYPERLINK("http://slimages.macys.com/is/image/MCY/9330026 ")</f>
        <v xml:space="preserve">http://slimages.macys.com/is/image/MCY/9330026 </v>
      </c>
    </row>
    <row r="31" spans="1:12" ht="39.950000000000003" customHeight="1" x14ac:dyDescent="0.25">
      <c r="A31" s="6" t="s">
        <v>1853</v>
      </c>
      <c r="B31" s="7" t="s">
        <v>1854</v>
      </c>
      <c r="C31" s="8">
        <v>1</v>
      </c>
      <c r="D31" s="9">
        <v>41.99</v>
      </c>
      <c r="E31" s="8" t="s">
        <v>1855</v>
      </c>
      <c r="F31" s="7" t="s">
        <v>4096</v>
      </c>
      <c r="G31" s="10"/>
      <c r="H31" s="7" t="s">
        <v>3542</v>
      </c>
      <c r="I31" s="7" t="s">
        <v>4374</v>
      </c>
      <c r="J31" s="7" t="s">
        <v>3426</v>
      </c>
      <c r="K31" s="7" t="s">
        <v>4300</v>
      </c>
      <c r="L31" s="11" t="str">
        <f>HYPERLINK("http://slimages.macys.com/is/image/MCY/10721521 ")</f>
        <v xml:space="preserve">http://slimages.macys.com/is/image/MCY/10721521 </v>
      </c>
    </row>
    <row r="32" spans="1:12" ht="39.950000000000003" customHeight="1" x14ac:dyDescent="0.25">
      <c r="A32" s="6" t="s">
        <v>1856</v>
      </c>
      <c r="B32" s="7" t="s">
        <v>1857</v>
      </c>
      <c r="C32" s="8">
        <v>1</v>
      </c>
      <c r="D32" s="9">
        <v>49.99</v>
      </c>
      <c r="E32" s="8" t="s">
        <v>1858</v>
      </c>
      <c r="F32" s="7" t="s">
        <v>3477</v>
      </c>
      <c r="G32" s="10"/>
      <c r="H32" s="7" t="s">
        <v>3452</v>
      </c>
      <c r="I32" s="7" t="s">
        <v>3834</v>
      </c>
      <c r="J32" s="7" t="s">
        <v>3426</v>
      </c>
      <c r="K32" s="7"/>
      <c r="L32" s="11" t="str">
        <f>HYPERLINK("http://slimages.macys.com/is/image/MCY/9940182 ")</f>
        <v xml:space="preserve">http://slimages.macys.com/is/image/MCY/9940182 </v>
      </c>
    </row>
    <row r="33" spans="1:12" ht="39.950000000000003" customHeight="1" x14ac:dyDescent="0.25">
      <c r="A33" s="6" t="s">
        <v>4327</v>
      </c>
      <c r="B33" s="7" t="s">
        <v>4328</v>
      </c>
      <c r="C33" s="8">
        <v>1</v>
      </c>
      <c r="D33" s="9">
        <v>49.99</v>
      </c>
      <c r="E33" s="8" t="s">
        <v>4329</v>
      </c>
      <c r="F33" s="7" t="s">
        <v>3445</v>
      </c>
      <c r="G33" s="10"/>
      <c r="H33" s="7" t="s">
        <v>3478</v>
      </c>
      <c r="I33" s="7" t="s">
        <v>3517</v>
      </c>
      <c r="J33" s="7" t="s">
        <v>3426</v>
      </c>
      <c r="K33" s="7" t="s">
        <v>3592</v>
      </c>
      <c r="L33" s="11" t="str">
        <f>HYPERLINK("http://slimages.macys.com/is/image/MCY/9330026 ")</f>
        <v xml:space="preserve">http://slimages.macys.com/is/image/MCY/9330026 </v>
      </c>
    </row>
    <row r="34" spans="1:12" ht="39.950000000000003" customHeight="1" x14ac:dyDescent="0.25">
      <c r="A34" s="6" t="s">
        <v>1859</v>
      </c>
      <c r="B34" s="7" t="s">
        <v>1860</v>
      </c>
      <c r="C34" s="8">
        <v>1</v>
      </c>
      <c r="D34" s="9">
        <v>39.99</v>
      </c>
      <c r="E34" s="8">
        <v>22216238</v>
      </c>
      <c r="F34" s="7" t="s">
        <v>3496</v>
      </c>
      <c r="G34" s="10"/>
      <c r="H34" s="7" t="s">
        <v>3542</v>
      </c>
      <c r="I34" s="7" t="s">
        <v>3517</v>
      </c>
      <c r="J34" s="7"/>
      <c r="K34" s="7"/>
      <c r="L34" s="11" t="str">
        <f>HYPERLINK("http://slimages.macys.com/is/image/MCY/17177962 ")</f>
        <v xml:space="preserve">http://slimages.macys.com/is/image/MCY/17177962 </v>
      </c>
    </row>
    <row r="35" spans="1:12" ht="39.950000000000003" customHeight="1" x14ac:dyDescent="0.25">
      <c r="A35" s="6" t="s">
        <v>1861</v>
      </c>
      <c r="B35" s="7" t="s">
        <v>1862</v>
      </c>
      <c r="C35" s="8">
        <v>1</v>
      </c>
      <c r="D35" s="9">
        <v>35.99</v>
      </c>
      <c r="E35" s="8" t="s">
        <v>1863</v>
      </c>
      <c r="F35" s="7" t="s">
        <v>4096</v>
      </c>
      <c r="G35" s="10"/>
      <c r="H35" s="7" t="s">
        <v>3542</v>
      </c>
      <c r="I35" s="7" t="s">
        <v>4374</v>
      </c>
      <c r="J35" s="7" t="s">
        <v>3426</v>
      </c>
      <c r="K35" s="7" t="s">
        <v>4300</v>
      </c>
      <c r="L35" s="11" t="str">
        <f>HYPERLINK("http://slimages.macys.com/is/image/MCY/10721591 ")</f>
        <v xml:space="preserve">http://slimages.macys.com/is/image/MCY/10721591 </v>
      </c>
    </row>
    <row r="36" spans="1:12" ht="39.950000000000003" customHeight="1" x14ac:dyDescent="0.25">
      <c r="A36" s="6" t="s">
        <v>1864</v>
      </c>
      <c r="B36" s="7" t="s">
        <v>1865</v>
      </c>
      <c r="C36" s="8">
        <v>3</v>
      </c>
      <c r="D36" s="9">
        <v>209.97</v>
      </c>
      <c r="E36" s="8">
        <v>10007223900</v>
      </c>
      <c r="F36" s="7" t="s">
        <v>3477</v>
      </c>
      <c r="G36" s="10"/>
      <c r="H36" s="7" t="s">
        <v>3440</v>
      </c>
      <c r="I36" s="7" t="s">
        <v>3683</v>
      </c>
      <c r="J36" s="7" t="s">
        <v>3426</v>
      </c>
      <c r="K36" s="7" t="s">
        <v>1866</v>
      </c>
      <c r="L36" s="11" t="str">
        <f>HYPERLINK("http://slimages.macys.com/is/image/MCY/12898883 ")</f>
        <v xml:space="preserve">http://slimages.macys.com/is/image/MCY/12898883 </v>
      </c>
    </row>
    <row r="37" spans="1:12" ht="39.950000000000003" customHeight="1" x14ac:dyDescent="0.25">
      <c r="A37" s="6" t="s">
        <v>1867</v>
      </c>
      <c r="B37" s="7" t="s">
        <v>1868</v>
      </c>
      <c r="C37" s="8">
        <v>1</v>
      </c>
      <c r="D37" s="9">
        <v>100</v>
      </c>
      <c r="E37" s="8" t="s">
        <v>1869</v>
      </c>
      <c r="F37" s="7" t="s">
        <v>3445</v>
      </c>
      <c r="G37" s="10" t="s">
        <v>2503</v>
      </c>
      <c r="H37" s="7" t="s">
        <v>3525</v>
      </c>
      <c r="I37" s="7" t="s">
        <v>1806</v>
      </c>
      <c r="J37" s="7" t="s">
        <v>3564</v>
      </c>
      <c r="K37" s="7" t="s">
        <v>1870</v>
      </c>
      <c r="L37" s="11" t="str">
        <f>HYPERLINK("http://images.bloomingdales.com/is/image/BLM/9688505 ")</f>
        <v xml:space="preserve">http://images.bloomingdales.com/is/image/BLM/9688505 </v>
      </c>
    </row>
    <row r="38" spans="1:12" ht="39.950000000000003" customHeight="1" x14ac:dyDescent="0.25">
      <c r="A38" s="6" t="s">
        <v>1871</v>
      </c>
      <c r="B38" s="7" t="s">
        <v>1872</v>
      </c>
      <c r="C38" s="8">
        <v>2</v>
      </c>
      <c r="D38" s="9">
        <v>49.98</v>
      </c>
      <c r="E38" s="8">
        <v>55824</v>
      </c>
      <c r="F38" s="7" t="s">
        <v>3720</v>
      </c>
      <c r="G38" s="10"/>
      <c r="H38" s="7" t="s">
        <v>3490</v>
      </c>
      <c r="I38" s="7" t="s">
        <v>3649</v>
      </c>
      <c r="J38" s="7" t="s">
        <v>3426</v>
      </c>
      <c r="K38" s="7" t="s">
        <v>3518</v>
      </c>
      <c r="L38" s="11" t="str">
        <f>HYPERLINK("http://slimages.macys.com/is/image/MCY/16096647 ")</f>
        <v xml:space="preserve">http://slimages.macys.com/is/image/MCY/16096647 </v>
      </c>
    </row>
    <row r="39" spans="1:12" ht="39.950000000000003" customHeight="1" x14ac:dyDescent="0.25">
      <c r="A39" s="6" t="s">
        <v>1873</v>
      </c>
      <c r="B39" s="7" t="s">
        <v>1874</v>
      </c>
      <c r="C39" s="8">
        <v>1</v>
      </c>
      <c r="D39" s="9">
        <v>16.989999999999998</v>
      </c>
      <c r="E39" s="8" t="s">
        <v>1875</v>
      </c>
      <c r="F39" s="7" t="s">
        <v>3530</v>
      </c>
      <c r="G39" s="10"/>
      <c r="H39" s="7" t="s">
        <v>3542</v>
      </c>
      <c r="I39" s="7" t="s">
        <v>3829</v>
      </c>
      <c r="J39" s="7" t="s">
        <v>3426</v>
      </c>
      <c r="K39" s="7" t="s">
        <v>3518</v>
      </c>
      <c r="L39" s="11" t="str">
        <f>HYPERLINK("http://slimages.macys.com/is/image/MCY/3153811 ")</f>
        <v xml:space="preserve">http://slimages.macys.com/is/image/MCY/3153811 </v>
      </c>
    </row>
    <row r="40" spans="1:12" ht="39.950000000000003" customHeight="1" x14ac:dyDescent="0.25">
      <c r="A40" s="6" t="s">
        <v>1876</v>
      </c>
      <c r="B40" s="7" t="s">
        <v>1877</v>
      </c>
      <c r="C40" s="8">
        <v>1</v>
      </c>
      <c r="D40" s="9">
        <v>12.99</v>
      </c>
      <c r="E40" s="8" t="s">
        <v>1878</v>
      </c>
      <c r="F40" s="7" t="s">
        <v>3463</v>
      </c>
      <c r="G40" s="10" t="s">
        <v>3489</v>
      </c>
      <c r="H40" s="7" t="s">
        <v>3490</v>
      </c>
      <c r="I40" s="7" t="s">
        <v>3392</v>
      </c>
      <c r="J40" s="7"/>
      <c r="K40" s="7"/>
      <c r="L40" s="11" t="str">
        <f>HYPERLINK("http://slimages.macys.com/is/image/MCY/17155343 ")</f>
        <v xml:space="preserve">http://slimages.macys.com/is/image/MCY/17155343 </v>
      </c>
    </row>
    <row r="41" spans="1:12" ht="39.950000000000003" customHeight="1" x14ac:dyDescent="0.25">
      <c r="A41" s="6" t="s">
        <v>1879</v>
      </c>
      <c r="B41" s="7" t="s">
        <v>1880</v>
      </c>
      <c r="C41" s="8">
        <v>1</v>
      </c>
      <c r="D41" s="9">
        <v>11.99</v>
      </c>
      <c r="E41" s="8">
        <v>20127</v>
      </c>
      <c r="F41" s="7" t="s">
        <v>3445</v>
      </c>
      <c r="G41" s="10"/>
      <c r="H41" s="7" t="s">
        <v>3490</v>
      </c>
      <c r="I41" s="7" t="s">
        <v>3649</v>
      </c>
      <c r="J41" s="7" t="s">
        <v>3426</v>
      </c>
      <c r="K41" s="7"/>
      <c r="L41" s="11" t="str">
        <f>HYPERLINK("http://slimages.macys.com/is/image/MCY/9616441 ")</f>
        <v xml:space="preserve">http://slimages.macys.com/is/image/MCY/9616441 </v>
      </c>
    </row>
    <row r="42" spans="1:12" ht="39.950000000000003" customHeight="1" x14ac:dyDescent="0.25">
      <c r="A42" s="6" t="s">
        <v>1881</v>
      </c>
      <c r="B42" s="7" t="s">
        <v>1882</v>
      </c>
      <c r="C42" s="8">
        <v>1</v>
      </c>
      <c r="D42" s="9">
        <v>14.99</v>
      </c>
      <c r="E42" s="8" t="s">
        <v>1883</v>
      </c>
      <c r="F42" s="7" t="s">
        <v>3445</v>
      </c>
      <c r="G42" s="10"/>
      <c r="H42" s="7" t="s">
        <v>3525</v>
      </c>
      <c r="I42" s="7" t="s">
        <v>1884</v>
      </c>
      <c r="J42" s="7" t="s">
        <v>3426</v>
      </c>
      <c r="K42" s="7" t="s">
        <v>3518</v>
      </c>
      <c r="L42" s="11" t="str">
        <f>HYPERLINK("http://slimages.macys.com/is/image/MCY/15007909 ")</f>
        <v xml:space="preserve">http://slimages.macys.com/is/image/MCY/15007909 </v>
      </c>
    </row>
    <row r="43" spans="1:12" ht="39.950000000000003" customHeight="1" x14ac:dyDescent="0.25">
      <c r="A43" s="6" t="s">
        <v>1885</v>
      </c>
      <c r="B43" s="7" t="s">
        <v>1886</v>
      </c>
      <c r="C43" s="8">
        <v>1</v>
      </c>
      <c r="D43" s="9">
        <v>35.99</v>
      </c>
      <c r="E43" s="8" t="s">
        <v>1887</v>
      </c>
      <c r="F43" s="7" t="s">
        <v>3610</v>
      </c>
      <c r="G43" s="10" t="s">
        <v>3489</v>
      </c>
      <c r="H43" s="7" t="s">
        <v>3542</v>
      </c>
      <c r="I43" s="7" t="s">
        <v>1888</v>
      </c>
      <c r="J43" s="7"/>
      <c r="K43" s="7"/>
      <c r="L43" s="11"/>
    </row>
    <row r="44" spans="1:12" ht="39.950000000000003" customHeight="1" x14ac:dyDescent="0.25">
      <c r="A44" s="6" t="s">
        <v>3667</v>
      </c>
      <c r="B44" s="7" t="s">
        <v>3668</v>
      </c>
      <c r="C44" s="8">
        <v>4</v>
      </c>
      <c r="D44" s="9">
        <v>160</v>
      </c>
      <c r="E44" s="8"/>
      <c r="F44" s="7" t="s">
        <v>3610</v>
      </c>
      <c r="G44" s="10" t="s">
        <v>3489</v>
      </c>
      <c r="H44" s="7" t="s">
        <v>3669</v>
      </c>
      <c r="I44" s="7" t="s">
        <v>3670</v>
      </c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1889</v>
      </c>
      <c r="B2" s="7" t="s">
        <v>1890</v>
      </c>
      <c r="C2" s="8">
        <v>1</v>
      </c>
      <c r="D2" s="9">
        <v>339.99</v>
      </c>
      <c r="E2" s="8">
        <v>61224</v>
      </c>
      <c r="F2" s="7" t="s">
        <v>3445</v>
      </c>
      <c r="G2" s="10"/>
      <c r="H2" s="7" t="s">
        <v>3559</v>
      </c>
      <c r="I2" s="7" t="s">
        <v>3560</v>
      </c>
      <c r="J2" s="7" t="s">
        <v>3426</v>
      </c>
      <c r="K2" s="7" t="s">
        <v>4243</v>
      </c>
      <c r="L2" s="11" t="str">
        <f>HYPERLINK("http://slimages.macys.com/is/image/MCY/15866492 ")</f>
        <v xml:space="preserve">http://slimages.macys.com/is/image/MCY/15866492 </v>
      </c>
    </row>
    <row r="3" spans="1:12" ht="39.950000000000003" customHeight="1" x14ac:dyDescent="0.25">
      <c r="A3" s="6" t="s">
        <v>1891</v>
      </c>
      <c r="B3" s="7" t="s">
        <v>1892</v>
      </c>
      <c r="C3" s="8">
        <v>1</v>
      </c>
      <c r="D3" s="9">
        <v>299.99</v>
      </c>
      <c r="E3" s="8" t="s">
        <v>1893</v>
      </c>
      <c r="F3" s="7" t="s">
        <v>4325</v>
      </c>
      <c r="G3" s="10"/>
      <c r="H3" s="7" t="s">
        <v>3688</v>
      </c>
      <c r="I3" s="7" t="s">
        <v>3871</v>
      </c>
      <c r="J3" s="7"/>
      <c r="K3" s="7"/>
      <c r="L3" s="11" t="str">
        <f>HYPERLINK("http://slimages.macys.com/is/image/MCY/17979399 ")</f>
        <v xml:space="preserve">http://slimages.macys.com/is/image/MCY/17979399 </v>
      </c>
    </row>
    <row r="4" spans="1:12" ht="39.950000000000003" customHeight="1" x14ac:dyDescent="0.25">
      <c r="A4" s="6" t="s">
        <v>1894</v>
      </c>
      <c r="B4" s="7" t="s">
        <v>1895</v>
      </c>
      <c r="C4" s="8">
        <v>1</v>
      </c>
      <c r="D4" s="9">
        <v>235</v>
      </c>
      <c r="E4" s="8" t="s">
        <v>1896</v>
      </c>
      <c r="F4" s="7" t="s">
        <v>3720</v>
      </c>
      <c r="G4" s="10"/>
      <c r="H4" s="7" t="s">
        <v>1897</v>
      </c>
      <c r="I4" s="7" t="s">
        <v>1898</v>
      </c>
      <c r="J4" s="7" t="s">
        <v>4367</v>
      </c>
      <c r="K4" s="7" t="s">
        <v>1899</v>
      </c>
      <c r="L4" s="11" t="str">
        <f>HYPERLINK("http://images.bloomingdales.com/is/image/BLM/10018049 ")</f>
        <v xml:space="preserve">http://images.bloomingdales.com/is/image/BLM/10018049 </v>
      </c>
    </row>
    <row r="5" spans="1:12" ht="39.950000000000003" customHeight="1" x14ac:dyDescent="0.25">
      <c r="A5" s="6" t="s">
        <v>3192</v>
      </c>
      <c r="B5" s="7" t="s">
        <v>3193</v>
      </c>
      <c r="C5" s="8">
        <v>1</v>
      </c>
      <c r="D5" s="9">
        <v>239.99</v>
      </c>
      <c r="E5" s="8" t="s">
        <v>3194</v>
      </c>
      <c r="F5" s="7" t="s">
        <v>3445</v>
      </c>
      <c r="G5" s="10" t="s">
        <v>3439</v>
      </c>
      <c r="H5" s="7" t="s">
        <v>3676</v>
      </c>
      <c r="I5" s="7" t="s">
        <v>3548</v>
      </c>
      <c r="J5" s="7" t="s">
        <v>3564</v>
      </c>
      <c r="K5" s="7" t="s">
        <v>3879</v>
      </c>
      <c r="L5" s="11" t="str">
        <f>HYPERLINK("http://slimages.macys.com/is/image/MCY/3962568 ")</f>
        <v xml:space="preserve">http://slimages.macys.com/is/image/MCY/3962568 </v>
      </c>
    </row>
    <row r="6" spans="1:12" ht="39.950000000000003" customHeight="1" x14ac:dyDescent="0.25">
      <c r="A6" s="6" t="s">
        <v>1900</v>
      </c>
      <c r="B6" s="7" t="s">
        <v>1901</v>
      </c>
      <c r="C6" s="8">
        <v>1</v>
      </c>
      <c r="D6" s="9">
        <v>249.99</v>
      </c>
      <c r="E6" s="8" t="s">
        <v>1902</v>
      </c>
      <c r="F6" s="7" t="s">
        <v>3445</v>
      </c>
      <c r="G6" s="10"/>
      <c r="H6" s="7" t="s">
        <v>3676</v>
      </c>
      <c r="I6" s="7" t="s">
        <v>3526</v>
      </c>
      <c r="J6" s="7"/>
      <c r="K6" s="7"/>
      <c r="L6" s="11" t="str">
        <f>HYPERLINK("http://slimages.macys.com/is/image/MCY/17933753 ")</f>
        <v xml:space="preserve">http://slimages.macys.com/is/image/MCY/17933753 </v>
      </c>
    </row>
    <row r="7" spans="1:12" ht="39.950000000000003" customHeight="1" x14ac:dyDescent="0.25">
      <c r="A7" s="6" t="s">
        <v>1903</v>
      </c>
      <c r="B7" s="7" t="s">
        <v>1904</v>
      </c>
      <c r="C7" s="8">
        <v>1</v>
      </c>
      <c r="D7" s="9">
        <v>164.99</v>
      </c>
      <c r="E7" s="8" t="s">
        <v>1905</v>
      </c>
      <c r="F7" s="7" t="s">
        <v>3463</v>
      </c>
      <c r="G7" s="10" t="s">
        <v>1906</v>
      </c>
      <c r="H7" s="7" t="s">
        <v>3542</v>
      </c>
      <c r="I7" s="7" t="s">
        <v>1690</v>
      </c>
      <c r="J7" s="7" t="s">
        <v>3564</v>
      </c>
      <c r="K7" s="7" t="s">
        <v>4251</v>
      </c>
      <c r="L7" s="11" t="str">
        <f>HYPERLINK("http://slimages.macys.com/is/image/MCY/10036076 ")</f>
        <v xml:space="preserve">http://slimages.macys.com/is/image/MCY/10036076 </v>
      </c>
    </row>
    <row r="8" spans="1:12" ht="39.950000000000003" customHeight="1" x14ac:dyDescent="0.25">
      <c r="A8" s="6" t="s">
        <v>1907</v>
      </c>
      <c r="B8" s="7" t="s">
        <v>1908</v>
      </c>
      <c r="C8" s="8">
        <v>1</v>
      </c>
      <c r="D8" s="9">
        <v>229.99</v>
      </c>
      <c r="E8" s="8" t="s">
        <v>1909</v>
      </c>
      <c r="F8" s="7" t="s">
        <v>3511</v>
      </c>
      <c r="G8" s="10"/>
      <c r="H8" s="7" t="s">
        <v>3440</v>
      </c>
      <c r="I8" s="7" t="s">
        <v>3683</v>
      </c>
      <c r="J8" s="7" t="s">
        <v>3426</v>
      </c>
      <c r="K8" s="7" t="s">
        <v>4419</v>
      </c>
      <c r="L8" s="11" t="str">
        <f>HYPERLINK("http://slimages.macys.com/is/image/MCY/15767048 ")</f>
        <v xml:space="preserve">http://slimages.macys.com/is/image/MCY/15767048 </v>
      </c>
    </row>
    <row r="9" spans="1:12" ht="39.950000000000003" customHeight="1" x14ac:dyDescent="0.25">
      <c r="A9" s="6" t="s">
        <v>3886</v>
      </c>
      <c r="B9" s="7" t="s">
        <v>3887</v>
      </c>
      <c r="C9" s="8">
        <v>1</v>
      </c>
      <c r="D9" s="9">
        <v>179.99</v>
      </c>
      <c r="E9" s="8">
        <v>82205</v>
      </c>
      <c r="F9" s="7" t="s">
        <v>3477</v>
      </c>
      <c r="G9" s="10"/>
      <c r="H9" s="7" t="s">
        <v>3478</v>
      </c>
      <c r="I9" s="7" t="s">
        <v>3479</v>
      </c>
      <c r="J9" s="7" t="s">
        <v>3426</v>
      </c>
      <c r="K9" s="7" t="s">
        <v>3888</v>
      </c>
      <c r="L9" s="11" t="str">
        <f>HYPERLINK("http://slimages.macys.com/is/image/MCY/16578696 ")</f>
        <v xml:space="preserve">http://slimages.macys.com/is/image/MCY/16578696 </v>
      </c>
    </row>
    <row r="10" spans="1:12" ht="39.950000000000003" customHeight="1" x14ac:dyDescent="0.25">
      <c r="A10" s="6" t="s">
        <v>1910</v>
      </c>
      <c r="B10" s="7" t="s">
        <v>1911</v>
      </c>
      <c r="C10" s="8">
        <v>1</v>
      </c>
      <c r="D10" s="9">
        <v>149.99</v>
      </c>
      <c r="E10" s="8" t="s">
        <v>1912</v>
      </c>
      <c r="F10" s="7" t="s">
        <v>4047</v>
      </c>
      <c r="G10" s="10"/>
      <c r="H10" s="7" t="s">
        <v>1609</v>
      </c>
      <c r="I10" s="7" t="s">
        <v>1610</v>
      </c>
      <c r="J10" s="7"/>
      <c r="K10" s="7"/>
      <c r="L10" s="11" t="str">
        <f>HYPERLINK("http://slimages.macys.com/is/image/MCY/16996973 ")</f>
        <v xml:space="preserve">http://slimages.macys.com/is/image/MCY/16996973 </v>
      </c>
    </row>
    <row r="11" spans="1:12" ht="39.950000000000003" customHeight="1" x14ac:dyDescent="0.25">
      <c r="A11" s="6" t="s">
        <v>1913</v>
      </c>
      <c r="B11" s="7" t="s">
        <v>1914</v>
      </c>
      <c r="C11" s="8">
        <v>1</v>
      </c>
      <c r="D11" s="9">
        <v>169.99</v>
      </c>
      <c r="E11" s="8" t="s">
        <v>1915</v>
      </c>
      <c r="F11" s="7" t="s">
        <v>3445</v>
      </c>
      <c r="G11" s="10" t="s">
        <v>3439</v>
      </c>
      <c r="H11" s="7" t="s">
        <v>3572</v>
      </c>
      <c r="I11" s="7" t="s">
        <v>3724</v>
      </c>
      <c r="J11" s="7" t="s">
        <v>3613</v>
      </c>
      <c r="K11" s="7"/>
      <c r="L11" s="11" t="str">
        <f>HYPERLINK("http://slimages.macys.com/is/image/MCY/8905437 ")</f>
        <v xml:space="preserve">http://slimages.macys.com/is/image/MCY/8905437 </v>
      </c>
    </row>
    <row r="12" spans="1:12" ht="39.950000000000003" customHeight="1" x14ac:dyDescent="0.25">
      <c r="A12" s="6" t="s">
        <v>1916</v>
      </c>
      <c r="B12" s="7" t="s">
        <v>1917</v>
      </c>
      <c r="C12" s="8">
        <v>1</v>
      </c>
      <c r="D12" s="9">
        <v>73.989999999999995</v>
      </c>
      <c r="E12" s="8" t="s">
        <v>1918</v>
      </c>
      <c r="F12" s="7" t="s">
        <v>3445</v>
      </c>
      <c r="G12" s="10"/>
      <c r="H12" s="7" t="s">
        <v>3542</v>
      </c>
      <c r="I12" s="7" t="s">
        <v>3756</v>
      </c>
      <c r="J12" s="7" t="s">
        <v>3426</v>
      </c>
      <c r="K12" s="7" t="s">
        <v>3492</v>
      </c>
      <c r="L12" s="11" t="str">
        <f>HYPERLINK("http://slimages.macys.com/is/image/MCY/11798856 ")</f>
        <v xml:space="preserve">http://slimages.macys.com/is/image/MCY/11798856 </v>
      </c>
    </row>
    <row r="13" spans="1:12" ht="39.950000000000003" customHeight="1" x14ac:dyDescent="0.25">
      <c r="A13" s="6" t="s">
        <v>3464</v>
      </c>
      <c r="B13" s="7" t="s">
        <v>3465</v>
      </c>
      <c r="C13" s="8">
        <v>1</v>
      </c>
      <c r="D13" s="9">
        <v>119.99</v>
      </c>
      <c r="E13" s="8" t="s">
        <v>3466</v>
      </c>
      <c r="F13" s="7" t="s">
        <v>3445</v>
      </c>
      <c r="G13" s="10"/>
      <c r="H13" s="7" t="s">
        <v>3467</v>
      </c>
      <c r="I13" s="7" t="s">
        <v>4333</v>
      </c>
      <c r="J13" s="7" t="s">
        <v>3426</v>
      </c>
      <c r="K13" s="7" t="s">
        <v>3469</v>
      </c>
      <c r="L13" s="11" t="str">
        <f>HYPERLINK("http://slimages.macys.com/is/image/MCY/13417209 ")</f>
        <v xml:space="preserve">http://slimages.macys.com/is/image/MCY/13417209 </v>
      </c>
    </row>
    <row r="14" spans="1:12" ht="39.950000000000003" customHeight="1" x14ac:dyDescent="0.25">
      <c r="A14" s="6" t="s">
        <v>1919</v>
      </c>
      <c r="B14" s="7" t="s">
        <v>1920</v>
      </c>
      <c r="C14" s="8">
        <v>1</v>
      </c>
      <c r="D14" s="9">
        <v>99.99</v>
      </c>
      <c r="E14" s="8">
        <v>61131</v>
      </c>
      <c r="F14" s="7" t="s">
        <v>3445</v>
      </c>
      <c r="G14" s="10"/>
      <c r="H14" s="7" t="s">
        <v>3559</v>
      </c>
      <c r="I14" s="7" t="s">
        <v>3560</v>
      </c>
      <c r="J14" s="7" t="s">
        <v>3426</v>
      </c>
      <c r="K14" s="7" t="s">
        <v>3518</v>
      </c>
      <c r="L14" s="11" t="str">
        <f>HYPERLINK("http://slimages.macys.com/is/image/MCY/15866395 ")</f>
        <v xml:space="preserve">http://slimages.macys.com/is/image/MCY/15866395 </v>
      </c>
    </row>
    <row r="15" spans="1:12" ht="39.950000000000003" customHeight="1" x14ac:dyDescent="0.25">
      <c r="A15" s="6" t="s">
        <v>1921</v>
      </c>
      <c r="B15" s="7" t="s">
        <v>1922</v>
      </c>
      <c r="C15" s="8">
        <v>1</v>
      </c>
      <c r="D15" s="9">
        <v>99.99</v>
      </c>
      <c r="E15" s="8">
        <v>15311115</v>
      </c>
      <c r="F15" s="7" t="s">
        <v>3431</v>
      </c>
      <c r="G15" s="10" t="s">
        <v>3127</v>
      </c>
      <c r="H15" s="7" t="s">
        <v>3559</v>
      </c>
      <c r="I15" s="7" t="s">
        <v>1923</v>
      </c>
      <c r="J15" s="7" t="s">
        <v>3549</v>
      </c>
      <c r="K15" s="7" t="s">
        <v>1924</v>
      </c>
      <c r="L15" s="11" t="str">
        <f>HYPERLINK("http://slimages.macys.com/is/image/MCY/3899940 ")</f>
        <v xml:space="preserve">http://slimages.macys.com/is/image/MCY/3899940 </v>
      </c>
    </row>
    <row r="16" spans="1:12" ht="39.950000000000003" customHeight="1" x14ac:dyDescent="0.25">
      <c r="A16" s="6" t="s">
        <v>1925</v>
      </c>
      <c r="B16" s="7" t="s">
        <v>1926</v>
      </c>
      <c r="C16" s="8">
        <v>1</v>
      </c>
      <c r="D16" s="9">
        <v>99.99</v>
      </c>
      <c r="E16" s="8" t="s">
        <v>1927</v>
      </c>
      <c r="F16" s="7" t="s">
        <v>3463</v>
      </c>
      <c r="G16" s="10"/>
      <c r="H16" s="7" t="s">
        <v>3467</v>
      </c>
      <c r="I16" s="7" t="s">
        <v>4333</v>
      </c>
      <c r="J16" s="7" t="s">
        <v>3426</v>
      </c>
      <c r="K16" s="7" t="s">
        <v>1928</v>
      </c>
      <c r="L16" s="11" t="str">
        <f>HYPERLINK("http://slimages.macys.com/is/image/MCY/14453968 ")</f>
        <v xml:space="preserve">http://slimages.macys.com/is/image/MCY/14453968 </v>
      </c>
    </row>
    <row r="17" spans="1:12" ht="39.950000000000003" customHeight="1" x14ac:dyDescent="0.25">
      <c r="A17" s="6" t="s">
        <v>1929</v>
      </c>
      <c r="B17" s="7" t="s">
        <v>1930</v>
      </c>
      <c r="C17" s="8">
        <v>1</v>
      </c>
      <c r="D17" s="9">
        <v>99.99</v>
      </c>
      <c r="E17" s="8" t="s">
        <v>1931</v>
      </c>
      <c r="F17" s="7" t="s">
        <v>3832</v>
      </c>
      <c r="G17" s="10"/>
      <c r="H17" s="7" t="s">
        <v>3572</v>
      </c>
      <c r="I17" s="7" t="s">
        <v>2478</v>
      </c>
      <c r="J17" s="7" t="s">
        <v>3426</v>
      </c>
      <c r="K17" s="7"/>
      <c r="L17" s="11" t="str">
        <f>HYPERLINK("http://slimages.macys.com/is/image/MCY/10656684 ")</f>
        <v xml:space="preserve">http://slimages.macys.com/is/image/MCY/10656684 </v>
      </c>
    </row>
    <row r="18" spans="1:12" ht="39.950000000000003" customHeight="1" x14ac:dyDescent="0.25">
      <c r="A18" s="6" t="s">
        <v>1932</v>
      </c>
      <c r="B18" s="7" t="s">
        <v>1933</v>
      </c>
      <c r="C18" s="8">
        <v>1</v>
      </c>
      <c r="D18" s="9">
        <v>99.99</v>
      </c>
      <c r="E18" s="8" t="s">
        <v>1934</v>
      </c>
      <c r="F18" s="7" t="s">
        <v>3511</v>
      </c>
      <c r="G18" s="10"/>
      <c r="H18" s="7" t="s">
        <v>3467</v>
      </c>
      <c r="I18" s="7" t="s">
        <v>2922</v>
      </c>
      <c r="J18" s="7"/>
      <c r="K18" s="7"/>
      <c r="L18" s="11" t="str">
        <f>HYPERLINK("http://slimages.macys.com/is/image/MCY/17662624 ")</f>
        <v xml:space="preserve">http://slimages.macys.com/is/image/MCY/17662624 </v>
      </c>
    </row>
    <row r="19" spans="1:12" ht="39.950000000000003" customHeight="1" x14ac:dyDescent="0.25">
      <c r="A19" s="6" t="s">
        <v>1935</v>
      </c>
      <c r="B19" s="7" t="s">
        <v>1936</v>
      </c>
      <c r="C19" s="8">
        <v>1</v>
      </c>
      <c r="D19" s="9">
        <v>99.99</v>
      </c>
      <c r="E19" s="8" t="s">
        <v>1937</v>
      </c>
      <c r="F19" s="7" t="s">
        <v>3530</v>
      </c>
      <c r="G19" s="10"/>
      <c r="H19" s="7" t="s">
        <v>3458</v>
      </c>
      <c r="I19" s="7" t="s">
        <v>3459</v>
      </c>
      <c r="J19" s="7" t="s">
        <v>3426</v>
      </c>
      <c r="K19" s="7" t="s">
        <v>3485</v>
      </c>
      <c r="L19" s="11" t="str">
        <f>HYPERLINK("http://slimages.macys.com/is/image/MCY/11607139 ")</f>
        <v xml:space="preserve">http://slimages.macys.com/is/image/MCY/11607139 </v>
      </c>
    </row>
    <row r="20" spans="1:12" ht="39.950000000000003" customHeight="1" x14ac:dyDescent="0.25">
      <c r="A20" s="6" t="s">
        <v>1938</v>
      </c>
      <c r="B20" s="7" t="s">
        <v>3075</v>
      </c>
      <c r="C20" s="8">
        <v>1</v>
      </c>
      <c r="D20" s="9">
        <v>155</v>
      </c>
      <c r="E20" s="8" t="s">
        <v>1939</v>
      </c>
      <c r="F20" s="7" t="s">
        <v>3484</v>
      </c>
      <c r="G20" s="10"/>
      <c r="H20" s="7" t="s">
        <v>3467</v>
      </c>
      <c r="I20" s="7" t="s">
        <v>3077</v>
      </c>
      <c r="J20" s="7" t="s">
        <v>2633</v>
      </c>
      <c r="K20" s="7" t="s">
        <v>3078</v>
      </c>
      <c r="L20" s="11" t="str">
        <f>HYPERLINK("http://images.bloomingdales.com/is/image/BLM/10498701 ")</f>
        <v xml:space="preserve">http://images.bloomingdales.com/is/image/BLM/10498701 </v>
      </c>
    </row>
    <row r="21" spans="1:12" ht="39.950000000000003" customHeight="1" x14ac:dyDescent="0.25">
      <c r="A21" s="6" t="s">
        <v>1940</v>
      </c>
      <c r="B21" s="7" t="s">
        <v>1941</v>
      </c>
      <c r="C21" s="8">
        <v>1</v>
      </c>
      <c r="D21" s="9">
        <v>155</v>
      </c>
      <c r="E21" s="8" t="s">
        <v>1942</v>
      </c>
      <c r="F21" s="7" t="s">
        <v>3445</v>
      </c>
      <c r="G21" s="10"/>
      <c r="H21" s="7" t="s">
        <v>3467</v>
      </c>
      <c r="I21" s="7" t="s">
        <v>3077</v>
      </c>
      <c r="J21" s="7" t="s">
        <v>2633</v>
      </c>
      <c r="K21" s="7" t="s">
        <v>3078</v>
      </c>
      <c r="L21" s="11" t="str">
        <f>HYPERLINK("http://images.bloomingdales.com/is/image/BLM/10498701 ")</f>
        <v xml:space="preserve">http://images.bloomingdales.com/is/image/BLM/10498701 </v>
      </c>
    </row>
    <row r="22" spans="1:12" ht="39.950000000000003" customHeight="1" x14ac:dyDescent="0.25">
      <c r="A22" s="6" t="s">
        <v>1943</v>
      </c>
      <c r="B22" s="7" t="s">
        <v>1944</v>
      </c>
      <c r="C22" s="8">
        <v>1</v>
      </c>
      <c r="D22" s="9">
        <v>325</v>
      </c>
      <c r="E22" s="8" t="s">
        <v>1945</v>
      </c>
      <c r="F22" s="7" t="s">
        <v>3445</v>
      </c>
      <c r="G22" s="10" t="s">
        <v>3547</v>
      </c>
      <c r="H22" s="7" t="s">
        <v>3525</v>
      </c>
      <c r="I22" s="7" t="s">
        <v>1806</v>
      </c>
      <c r="J22" s="7" t="s">
        <v>3564</v>
      </c>
      <c r="K22" s="7" t="s">
        <v>1807</v>
      </c>
      <c r="L22" s="11" t="str">
        <f>HYPERLINK("http://images.bloomingdales.com/is/image/BLM/11029923 ")</f>
        <v xml:space="preserve">http://images.bloomingdales.com/is/image/BLM/11029923 </v>
      </c>
    </row>
    <row r="23" spans="1:12" ht="39.950000000000003" customHeight="1" x14ac:dyDescent="0.25">
      <c r="A23" s="6" t="s">
        <v>1946</v>
      </c>
      <c r="B23" s="7" t="s">
        <v>1947</v>
      </c>
      <c r="C23" s="8">
        <v>1</v>
      </c>
      <c r="D23" s="9">
        <v>80.989999999999995</v>
      </c>
      <c r="E23" s="8" t="s">
        <v>1948</v>
      </c>
      <c r="F23" s="7" t="s">
        <v>3463</v>
      </c>
      <c r="G23" s="10" t="s">
        <v>3547</v>
      </c>
      <c r="H23" s="7" t="s">
        <v>3559</v>
      </c>
      <c r="I23" s="7" t="s">
        <v>3756</v>
      </c>
      <c r="J23" s="7" t="s">
        <v>3601</v>
      </c>
      <c r="K23" s="7" t="s">
        <v>1949</v>
      </c>
      <c r="L23" s="11" t="str">
        <f>HYPERLINK("http://slimages.macys.com/is/image/MCY/11798924 ")</f>
        <v xml:space="preserve">http://slimages.macys.com/is/image/MCY/11798924 </v>
      </c>
    </row>
    <row r="24" spans="1:12" ht="39.950000000000003" customHeight="1" x14ac:dyDescent="0.25">
      <c r="A24" s="6" t="s">
        <v>1950</v>
      </c>
      <c r="B24" s="7" t="s">
        <v>4365</v>
      </c>
      <c r="C24" s="8">
        <v>1</v>
      </c>
      <c r="D24" s="9">
        <v>100</v>
      </c>
      <c r="E24" s="8" t="s">
        <v>1951</v>
      </c>
      <c r="F24" s="7" t="s">
        <v>3511</v>
      </c>
      <c r="G24" s="10" t="s">
        <v>3839</v>
      </c>
      <c r="H24" s="7" t="s">
        <v>3635</v>
      </c>
      <c r="I24" s="7" t="s">
        <v>4326</v>
      </c>
      <c r="J24" s="7" t="s">
        <v>4367</v>
      </c>
      <c r="K24" s="7" t="s">
        <v>3556</v>
      </c>
      <c r="L24" s="11" t="str">
        <f>HYPERLINK("http://images.bloomingdales.com/is/image/BLM/9787432 ")</f>
        <v xml:space="preserve">http://images.bloomingdales.com/is/image/BLM/9787432 </v>
      </c>
    </row>
    <row r="25" spans="1:12" ht="39.950000000000003" customHeight="1" x14ac:dyDescent="0.25">
      <c r="A25" s="6" t="s">
        <v>1952</v>
      </c>
      <c r="B25" s="7" t="s">
        <v>1953</v>
      </c>
      <c r="C25" s="8">
        <v>1</v>
      </c>
      <c r="D25" s="9">
        <v>89.99</v>
      </c>
      <c r="E25" s="8" t="s">
        <v>1954</v>
      </c>
      <c r="F25" s="7" t="s">
        <v>3445</v>
      </c>
      <c r="G25" s="10"/>
      <c r="H25" s="7" t="s">
        <v>3654</v>
      </c>
      <c r="I25" s="7" t="s">
        <v>3655</v>
      </c>
      <c r="J25" s="7" t="s">
        <v>3426</v>
      </c>
      <c r="K25" s="7" t="s">
        <v>1955</v>
      </c>
      <c r="L25" s="11" t="str">
        <f>HYPERLINK("http://slimages.macys.com/is/image/MCY/2987002 ")</f>
        <v xml:space="preserve">http://slimages.macys.com/is/image/MCY/2987002 </v>
      </c>
    </row>
    <row r="26" spans="1:12" ht="39.950000000000003" customHeight="1" x14ac:dyDescent="0.25">
      <c r="A26" s="6" t="s">
        <v>1956</v>
      </c>
      <c r="B26" s="7" t="s">
        <v>1957</v>
      </c>
      <c r="C26" s="8">
        <v>1</v>
      </c>
      <c r="D26" s="9">
        <v>150</v>
      </c>
      <c r="E26" s="8" t="s">
        <v>1958</v>
      </c>
      <c r="F26" s="7" t="s">
        <v>3445</v>
      </c>
      <c r="G26" s="10" t="s">
        <v>3773</v>
      </c>
      <c r="H26" s="7" t="s">
        <v>3525</v>
      </c>
      <c r="I26" s="7" t="s">
        <v>1806</v>
      </c>
      <c r="J26" s="7" t="s">
        <v>3613</v>
      </c>
      <c r="K26" s="7" t="s">
        <v>1959</v>
      </c>
      <c r="L26" s="11" t="str">
        <f>HYPERLINK("http://images.bloomingdales.com/is/image/BLM/10790231 ")</f>
        <v xml:space="preserve">http://images.bloomingdales.com/is/image/BLM/10790231 </v>
      </c>
    </row>
    <row r="27" spans="1:12" ht="39.950000000000003" customHeight="1" x14ac:dyDescent="0.25">
      <c r="A27" s="6" t="s">
        <v>1960</v>
      </c>
      <c r="B27" s="7" t="s">
        <v>1961</v>
      </c>
      <c r="C27" s="8">
        <v>1</v>
      </c>
      <c r="D27" s="9">
        <v>78.11</v>
      </c>
      <c r="E27" s="8" t="s">
        <v>1962</v>
      </c>
      <c r="F27" s="7"/>
      <c r="G27" s="10"/>
      <c r="H27" s="7" t="s">
        <v>3440</v>
      </c>
      <c r="I27" s="7" t="s">
        <v>4036</v>
      </c>
      <c r="J27" s="7" t="s">
        <v>3426</v>
      </c>
      <c r="K27" s="7"/>
      <c r="L27" s="11" t="str">
        <f>HYPERLINK("http://slimages.macys.com/is/image/MCY/9621144 ")</f>
        <v xml:space="preserve">http://slimages.macys.com/is/image/MCY/9621144 </v>
      </c>
    </row>
    <row r="28" spans="1:12" ht="39.950000000000003" customHeight="1" x14ac:dyDescent="0.25">
      <c r="A28" s="6" t="s">
        <v>1963</v>
      </c>
      <c r="B28" s="7" t="s">
        <v>1964</v>
      </c>
      <c r="C28" s="8">
        <v>1</v>
      </c>
      <c r="D28" s="9">
        <v>59.99</v>
      </c>
      <c r="E28" s="8" t="s">
        <v>1965</v>
      </c>
      <c r="F28" s="7" t="s">
        <v>3938</v>
      </c>
      <c r="G28" s="10"/>
      <c r="H28" s="7" t="s">
        <v>3542</v>
      </c>
      <c r="I28" s="7" t="s">
        <v>4234</v>
      </c>
      <c r="J28" s="7" t="s">
        <v>3426</v>
      </c>
      <c r="K28" s="7" t="s">
        <v>3447</v>
      </c>
      <c r="L28" s="11" t="str">
        <f>HYPERLINK("http://slimages.macys.com/is/image/MCY/13036438 ")</f>
        <v xml:space="preserve">http://slimages.macys.com/is/image/MCY/13036438 </v>
      </c>
    </row>
    <row r="29" spans="1:12" ht="39.950000000000003" customHeight="1" x14ac:dyDescent="0.25">
      <c r="A29" s="6" t="s">
        <v>1966</v>
      </c>
      <c r="B29" s="7" t="s">
        <v>1967</v>
      </c>
      <c r="C29" s="8">
        <v>1</v>
      </c>
      <c r="D29" s="9">
        <v>65.989999999999995</v>
      </c>
      <c r="E29" s="8" t="s">
        <v>1968</v>
      </c>
      <c r="F29" s="7" t="s">
        <v>3445</v>
      </c>
      <c r="G29" s="10"/>
      <c r="H29" s="7" t="s">
        <v>3490</v>
      </c>
      <c r="I29" s="7" t="s">
        <v>3859</v>
      </c>
      <c r="J29" s="7" t="s">
        <v>3426</v>
      </c>
      <c r="K29" s="7" t="s">
        <v>3556</v>
      </c>
      <c r="L29" s="11" t="str">
        <f>HYPERLINK("http://slimages.macys.com/is/image/MCY/12816875 ")</f>
        <v xml:space="preserve">http://slimages.macys.com/is/image/MCY/12816875 </v>
      </c>
    </row>
    <row r="30" spans="1:12" ht="39.950000000000003" customHeight="1" x14ac:dyDescent="0.25">
      <c r="A30" s="6" t="s">
        <v>1969</v>
      </c>
      <c r="B30" s="7" t="s">
        <v>1970</v>
      </c>
      <c r="C30" s="8">
        <v>1</v>
      </c>
      <c r="D30" s="9">
        <v>49.99</v>
      </c>
      <c r="E30" s="8">
        <v>221835</v>
      </c>
      <c r="F30" s="7" t="s">
        <v>4325</v>
      </c>
      <c r="G30" s="10"/>
      <c r="H30" s="7" t="s">
        <v>3695</v>
      </c>
      <c r="I30" s="7" t="s">
        <v>1971</v>
      </c>
      <c r="J30" s="7" t="s">
        <v>3426</v>
      </c>
      <c r="K30" s="7" t="s">
        <v>3811</v>
      </c>
      <c r="L30" s="11" t="str">
        <f>HYPERLINK("http://slimages.macys.com/is/image/MCY/12792129 ")</f>
        <v xml:space="preserve">http://slimages.macys.com/is/image/MCY/12792129 </v>
      </c>
    </row>
    <row r="31" spans="1:12" ht="39.950000000000003" customHeight="1" x14ac:dyDescent="0.25">
      <c r="A31" s="6" t="s">
        <v>1972</v>
      </c>
      <c r="B31" s="7" t="s">
        <v>1973</v>
      </c>
      <c r="C31" s="8">
        <v>1</v>
      </c>
      <c r="D31" s="9">
        <v>69.989999999999995</v>
      </c>
      <c r="E31" s="8" t="s">
        <v>4303</v>
      </c>
      <c r="F31" s="7" t="s">
        <v>3477</v>
      </c>
      <c r="G31" s="10"/>
      <c r="H31" s="7" t="s">
        <v>3452</v>
      </c>
      <c r="I31" s="7" t="s">
        <v>3834</v>
      </c>
      <c r="J31" s="7" t="s">
        <v>3426</v>
      </c>
      <c r="K31" s="7" t="s">
        <v>3556</v>
      </c>
      <c r="L31" s="11" t="str">
        <f>HYPERLINK("http://slimages.macys.com/is/image/MCY/9940182 ")</f>
        <v xml:space="preserve">http://slimages.macys.com/is/image/MCY/9940182 </v>
      </c>
    </row>
    <row r="32" spans="1:12" ht="39.950000000000003" customHeight="1" x14ac:dyDescent="0.25">
      <c r="A32" s="6" t="s">
        <v>1974</v>
      </c>
      <c r="B32" s="7" t="s">
        <v>1975</v>
      </c>
      <c r="C32" s="8">
        <v>1</v>
      </c>
      <c r="D32" s="9">
        <v>44.99</v>
      </c>
      <c r="E32" s="8">
        <v>48019</v>
      </c>
      <c r="F32" s="7" t="s">
        <v>3720</v>
      </c>
      <c r="G32" s="10"/>
      <c r="H32" s="7" t="s">
        <v>3490</v>
      </c>
      <c r="I32" s="7" t="s">
        <v>3649</v>
      </c>
      <c r="J32" s="7" t="s">
        <v>3426</v>
      </c>
      <c r="K32" s="7" t="s">
        <v>3518</v>
      </c>
      <c r="L32" s="11" t="str">
        <f>HYPERLINK("http://slimages.macys.com/is/image/MCY/3425234 ")</f>
        <v xml:space="preserve">http://slimages.macys.com/is/image/MCY/3425234 </v>
      </c>
    </row>
    <row r="33" spans="1:12" ht="39.950000000000003" customHeight="1" x14ac:dyDescent="0.25">
      <c r="A33" s="6" t="s">
        <v>1976</v>
      </c>
      <c r="B33" s="7" t="s">
        <v>1977</v>
      </c>
      <c r="C33" s="8">
        <v>1</v>
      </c>
      <c r="D33" s="9">
        <v>61.99</v>
      </c>
      <c r="E33" s="8" t="s">
        <v>1978</v>
      </c>
      <c r="F33" s="7" t="s">
        <v>3832</v>
      </c>
      <c r="G33" s="10" t="s">
        <v>3512</v>
      </c>
      <c r="H33" s="7" t="s">
        <v>3490</v>
      </c>
      <c r="I33" s="7" t="s">
        <v>4001</v>
      </c>
      <c r="J33" s="7" t="s">
        <v>3426</v>
      </c>
      <c r="K33" s="7" t="s">
        <v>3518</v>
      </c>
      <c r="L33" s="11" t="str">
        <f>HYPERLINK("http://slimages.macys.com/is/image/MCY/11081440 ")</f>
        <v xml:space="preserve">http://slimages.macys.com/is/image/MCY/11081440 </v>
      </c>
    </row>
    <row r="34" spans="1:12" ht="39.950000000000003" customHeight="1" x14ac:dyDescent="0.25">
      <c r="A34" s="6" t="s">
        <v>1979</v>
      </c>
      <c r="B34" s="7" t="s">
        <v>1980</v>
      </c>
      <c r="C34" s="8">
        <v>2</v>
      </c>
      <c r="D34" s="9">
        <v>125</v>
      </c>
      <c r="E34" s="8" t="s">
        <v>1981</v>
      </c>
      <c r="F34" s="7" t="s">
        <v>3535</v>
      </c>
      <c r="G34" s="10" t="s">
        <v>3653</v>
      </c>
      <c r="H34" s="7" t="s">
        <v>3635</v>
      </c>
      <c r="I34" s="7" t="s">
        <v>4326</v>
      </c>
      <c r="J34" s="7" t="s">
        <v>4367</v>
      </c>
      <c r="K34" s="7" t="s">
        <v>3556</v>
      </c>
      <c r="L34" s="11" t="str">
        <f>HYPERLINK("http://images.bloomingdales.com/is/image/BLM/10230973 ")</f>
        <v xml:space="preserve">http://images.bloomingdales.com/is/image/BLM/10230973 </v>
      </c>
    </row>
    <row r="35" spans="1:12" ht="39.950000000000003" customHeight="1" x14ac:dyDescent="0.25">
      <c r="A35" s="6" t="s">
        <v>1982</v>
      </c>
      <c r="B35" s="7" t="s">
        <v>1983</v>
      </c>
      <c r="C35" s="8">
        <v>1</v>
      </c>
      <c r="D35" s="9">
        <v>26.99</v>
      </c>
      <c r="E35" s="8" t="s">
        <v>1984</v>
      </c>
      <c r="F35" s="7" t="s">
        <v>3588</v>
      </c>
      <c r="G35" s="10" t="s">
        <v>3489</v>
      </c>
      <c r="H35" s="7" t="s">
        <v>3432</v>
      </c>
      <c r="I35" s="7" t="s">
        <v>3536</v>
      </c>
      <c r="J35" s="7" t="s">
        <v>3426</v>
      </c>
      <c r="K35" s="7" t="s">
        <v>1985</v>
      </c>
      <c r="L35" s="11" t="str">
        <f>HYPERLINK("http://slimages.macys.com/is/image/MCY/16276337 ")</f>
        <v xml:space="preserve">http://slimages.macys.com/is/image/MCY/16276337 </v>
      </c>
    </row>
    <row r="36" spans="1:12" ht="39.950000000000003" customHeight="1" x14ac:dyDescent="0.25">
      <c r="A36" s="6" t="s">
        <v>3565</v>
      </c>
      <c r="B36" s="7" t="s">
        <v>3566</v>
      </c>
      <c r="C36" s="8">
        <v>1</v>
      </c>
      <c r="D36" s="9">
        <v>24.99</v>
      </c>
      <c r="E36" s="8" t="s">
        <v>3567</v>
      </c>
      <c r="F36" s="7" t="s">
        <v>3511</v>
      </c>
      <c r="G36" s="10"/>
      <c r="H36" s="7" t="s">
        <v>3568</v>
      </c>
      <c r="I36" s="7" t="s">
        <v>3569</v>
      </c>
      <c r="J36" s="7" t="s">
        <v>3426</v>
      </c>
      <c r="K36" s="7"/>
      <c r="L36" s="11" t="str">
        <f>HYPERLINK("http://slimages.macys.com/is/image/MCY/9408114 ")</f>
        <v xml:space="preserve">http://slimages.macys.com/is/image/MCY/9408114 </v>
      </c>
    </row>
    <row r="37" spans="1:12" ht="39.950000000000003" customHeight="1" x14ac:dyDescent="0.25">
      <c r="A37" s="6" t="s">
        <v>1986</v>
      </c>
      <c r="B37" s="7" t="s">
        <v>1987</v>
      </c>
      <c r="C37" s="8">
        <v>1</v>
      </c>
      <c r="D37" s="9">
        <v>39.99</v>
      </c>
      <c r="E37" s="8">
        <v>51059</v>
      </c>
      <c r="F37" s="7" t="s">
        <v>1988</v>
      </c>
      <c r="G37" s="10" t="s">
        <v>4156</v>
      </c>
      <c r="H37" s="7" t="s">
        <v>3490</v>
      </c>
      <c r="I37" s="7" t="s">
        <v>1989</v>
      </c>
      <c r="J37" s="7" t="s">
        <v>3564</v>
      </c>
      <c r="K37" s="7" t="s">
        <v>1990</v>
      </c>
      <c r="L37" s="11" t="str">
        <f>HYPERLINK("http://slimages.macys.com/is/image/MCY/16368692 ")</f>
        <v xml:space="preserve">http://slimages.macys.com/is/image/MCY/16368692 </v>
      </c>
    </row>
    <row r="38" spans="1:12" ht="39.950000000000003" customHeight="1" x14ac:dyDescent="0.25">
      <c r="A38" s="6" t="s">
        <v>1991</v>
      </c>
      <c r="B38" s="7" t="s">
        <v>1992</v>
      </c>
      <c r="C38" s="8">
        <v>1</v>
      </c>
      <c r="D38" s="9">
        <v>49.99</v>
      </c>
      <c r="E38" s="8">
        <v>100061677</v>
      </c>
      <c r="F38" s="7" t="s">
        <v>3504</v>
      </c>
      <c r="G38" s="10"/>
      <c r="H38" s="7" t="s">
        <v>3467</v>
      </c>
      <c r="I38" s="7" t="s">
        <v>3473</v>
      </c>
      <c r="J38" s="7" t="s">
        <v>3426</v>
      </c>
      <c r="K38" s="7"/>
      <c r="L38" s="11" t="str">
        <f>HYPERLINK("http://slimages.macys.com/is/image/MCY/14815918 ")</f>
        <v xml:space="preserve">http://slimages.macys.com/is/image/MCY/14815918 </v>
      </c>
    </row>
    <row r="39" spans="1:12" ht="39.950000000000003" customHeight="1" x14ac:dyDescent="0.25">
      <c r="A39" s="6" t="s">
        <v>1993</v>
      </c>
      <c r="B39" s="7" t="s">
        <v>1994</v>
      </c>
      <c r="C39" s="8">
        <v>1</v>
      </c>
      <c r="D39" s="9">
        <v>50</v>
      </c>
      <c r="E39" s="8" t="s">
        <v>1995</v>
      </c>
      <c r="F39" s="7" t="s">
        <v>3423</v>
      </c>
      <c r="G39" s="10" t="s">
        <v>3653</v>
      </c>
      <c r="H39" s="7" t="s">
        <v>3635</v>
      </c>
      <c r="I39" s="7" t="s">
        <v>1996</v>
      </c>
      <c r="J39" s="7" t="s">
        <v>1997</v>
      </c>
      <c r="K39" s="7" t="s">
        <v>1998</v>
      </c>
      <c r="L39" s="11" t="str">
        <f>HYPERLINK("http://images.bloomingdales.com/is/image/BLM/10231000 ")</f>
        <v xml:space="preserve">http://images.bloomingdales.com/is/image/BLM/10231000 </v>
      </c>
    </row>
    <row r="40" spans="1:12" ht="39.950000000000003" customHeight="1" x14ac:dyDescent="0.25">
      <c r="A40" s="6" t="s">
        <v>1999</v>
      </c>
      <c r="B40" s="7" t="s">
        <v>2000</v>
      </c>
      <c r="C40" s="8">
        <v>1</v>
      </c>
      <c r="D40" s="9">
        <v>35.99</v>
      </c>
      <c r="E40" s="8" t="s">
        <v>2001</v>
      </c>
      <c r="F40" s="7" t="s">
        <v>3755</v>
      </c>
      <c r="G40" s="10"/>
      <c r="H40" s="7" t="s">
        <v>3490</v>
      </c>
      <c r="I40" s="7" t="s">
        <v>2002</v>
      </c>
      <c r="J40" s="7" t="s">
        <v>3426</v>
      </c>
      <c r="K40" s="7" t="s">
        <v>3518</v>
      </c>
      <c r="L40" s="11" t="str">
        <f>HYPERLINK("http://slimages.macys.com/is/image/MCY/15138027 ")</f>
        <v xml:space="preserve">http://slimages.macys.com/is/image/MCY/15138027 </v>
      </c>
    </row>
    <row r="41" spans="1:12" ht="39.950000000000003" customHeight="1" x14ac:dyDescent="0.25">
      <c r="A41" s="6" t="s">
        <v>2003</v>
      </c>
      <c r="B41" s="7" t="s">
        <v>2004</v>
      </c>
      <c r="C41" s="8">
        <v>1</v>
      </c>
      <c r="D41" s="9">
        <v>35.99</v>
      </c>
      <c r="E41" s="8" t="s">
        <v>2005</v>
      </c>
      <c r="F41" s="7" t="s">
        <v>3445</v>
      </c>
      <c r="G41" s="10" t="s">
        <v>3675</v>
      </c>
      <c r="H41" s="7" t="s">
        <v>3676</v>
      </c>
      <c r="I41" s="7" t="s">
        <v>3677</v>
      </c>
      <c r="J41" s="7" t="s">
        <v>3613</v>
      </c>
      <c r="K41" s="7" t="s">
        <v>3518</v>
      </c>
      <c r="L41" s="11" t="str">
        <f>HYPERLINK("http://slimages.macys.com/is/image/MCY/9489266 ")</f>
        <v xml:space="preserve">http://slimages.macys.com/is/image/MCY/9489266 </v>
      </c>
    </row>
    <row r="42" spans="1:12" ht="39.950000000000003" customHeight="1" x14ac:dyDescent="0.25">
      <c r="A42" s="6" t="s">
        <v>2006</v>
      </c>
      <c r="B42" s="7" t="s">
        <v>2007</v>
      </c>
      <c r="C42" s="8">
        <v>1</v>
      </c>
      <c r="D42" s="9">
        <v>39.99</v>
      </c>
      <c r="E42" s="8" t="s">
        <v>2008</v>
      </c>
      <c r="F42" s="7" t="s">
        <v>3892</v>
      </c>
      <c r="G42" s="10"/>
      <c r="H42" s="7" t="s">
        <v>3583</v>
      </c>
      <c r="I42" s="7" t="s">
        <v>3553</v>
      </c>
      <c r="J42" s="7" t="s">
        <v>3426</v>
      </c>
      <c r="K42" s="7" t="s">
        <v>3816</v>
      </c>
      <c r="L42" s="11" t="str">
        <f>HYPERLINK("http://slimages.macys.com/is/image/MCY/14332066 ")</f>
        <v xml:space="preserve">http://slimages.macys.com/is/image/MCY/14332066 </v>
      </c>
    </row>
    <row r="43" spans="1:12" ht="39.950000000000003" customHeight="1" x14ac:dyDescent="0.25">
      <c r="A43" s="6" t="s">
        <v>2009</v>
      </c>
      <c r="B43" s="7" t="s">
        <v>2010</v>
      </c>
      <c r="C43" s="8">
        <v>1</v>
      </c>
      <c r="D43" s="9">
        <v>44.99</v>
      </c>
      <c r="E43" s="8" t="s">
        <v>2011</v>
      </c>
      <c r="F43" s="7" t="s">
        <v>1988</v>
      </c>
      <c r="G43" s="10" t="s">
        <v>3547</v>
      </c>
      <c r="H43" s="7" t="s">
        <v>3452</v>
      </c>
      <c r="I43" s="7" t="s">
        <v>3453</v>
      </c>
      <c r="J43" s="7"/>
      <c r="K43" s="7"/>
      <c r="L43" s="11" t="str">
        <f>HYPERLINK("http://slimages.macys.com/is/image/MCY/17452341 ")</f>
        <v xml:space="preserve">http://slimages.macys.com/is/image/MCY/17452341 </v>
      </c>
    </row>
    <row r="44" spans="1:12" ht="39.950000000000003" customHeight="1" x14ac:dyDescent="0.25">
      <c r="A44" s="6" t="s">
        <v>2012</v>
      </c>
      <c r="B44" s="7" t="s">
        <v>2013</v>
      </c>
      <c r="C44" s="8">
        <v>1</v>
      </c>
      <c r="D44" s="9">
        <v>59.99</v>
      </c>
      <c r="E44" s="8" t="s">
        <v>2014</v>
      </c>
      <c r="F44" s="7" t="s">
        <v>3477</v>
      </c>
      <c r="G44" s="10" t="s">
        <v>3599</v>
      </c>
      <c r="H44" s="7" t="s">
        <v>2991</v>
      </c>
      <c r="I44" s="7" t="s">
        <v>3446</v>
      </c>
      <c r="J44" s="7" t="s">
        <v>3426</v>
      </c>
      <c r="K44" s="7" t="s">
        <v>3556</v>
      </c>
      <c r="L44" s="11" t="str">
        <f>HYPERLINK("http://slimages.macys.com/is/image/MCY/3534387 ")</f>
        <v xml:space="preserve">http://slimages.macys.com/is/image/MCY/3534387 </v>
      </c>
    </row>
    <row r="45" spans="1:12" ht="39.950000000000003" customHeight="1" x14ac:dyDescent="0.25">
      <c r="A45" s="6" t="s">
        <v>2015</v>
      </c>
      <c r="B45" s="7" t="s">
        <v>2016</v>
      </c>
      <c r="C45" s="8">
        <v>1</v>
      </c>
      <c r="D45" s="9">
        <v>21.99</v>
      </c>
      <c r="E45" s="8">
        <v>56691</v>
      </c>
      <c r="F45" s="7" t="s">
        <v>3445</v>
      </c>
      <c r="G45" s="10" t="s">
        <v>4383</v>
      </c>
      <c r="H45" s="7" t="s">
        <v>3490</v>
      </c>
      <c r="I45" s="7" t="s">
        <v>3649</v>
      </c>
      <c r="J45" s="7" t="s">
        <v>3426</v>
      </c>
      <c r="K45" s="7" t="s">
        <v>3518</v>
      </c>
      <c r="L45" s="11" t="str">
        <f>HYPERLINK("http://slimages.macys.com/is/image/MCY/16061164 ")</f>
        <v xml:space="preserve">http://slimages.macys.com/is/image/MCY/16061164 </v>
      </c>
    </row>
    <row r="46" spans="1:12" ht="39.950000000000003" customHeight="1" x14ac:dyDescent="0.25">
      <c r="A46" s="6" t="s">
        <v>2017</v>
      </c>
      <c r="B46" s="7" t="s">
        <v>2018</v>
      </c>
      <c r="C46" s="8">
        <v>1</v>
      </c>
      <c r="D46" s="9">
        <v>78.11</v>
      </c>
      <c r="E46" s="8">
        <v>100088905</v>
      </c>
      <c r="F46" s="7"/>
      <c r="G46" s="10"/>
      <c r="H46" s="7" t="s">
        <v>3467</v>
      </c>
      <c r="I46" s="7" t="s">
        <v>2019</v>
      </c>
      <c r="J46" s="7" t="s">
        <v>3426</v>
      </c>
      <c r="K46" s="7"/>
      <c r="L46" s="11" t="str">
        <f>HYPERLINK("http://slimages.macys.com/is/image/MCY/16353178 ")</f>
        <v xml:space="preserve">http://slimages.macys.com/is/image/MCY/16353178 </v>
      </c>
    </row>
    <row r="47" spans="1:12" ht="39.950000000000003" customHeight="1" x14ac:dyDescent="0.25">
      <c r="A47" s="6" t="s">
        <v>2020</v>
      </c>
      <c r="B47" s="7" t="s">
        <v>2021</v>
      </c>
      <c r="C47" s="8">
        <v>1</v>
      </c>
      <c r="D47" s="9">
        <v>19.989999999999998</v>
      </c>
      <c r="E47" s="8">
        <v>48087</v>
      </c>
      <c r="F47" s="7" t="s">
        <v>4015</v>
      </c>
      <c r="G47" s="10"/>
      <c r="H47" s="7" t="s">
        <v>3490</v>
      </c>
      <c r="I47" s="7" t="s">
        <v>3649</v>
      </c>
      <c r="J47" s="7" t="s">
        <v>3426</v>
      </c>
      <c r="K47" s="7" t="s">
        <v>3518</v>
      </c>
      <c r="L47" s="11" t="str">
        <f>HYPERLINK("http://slimages.macys.com/is/image/MCY/12936575 ")</f>
        <v xml:space="preserve">http://slimages.macys.com/is/image/MCY/12936575 </v>
      </c>
    </row>
    <row r="48" spans="1:12" ht="39.950000000000003" customHeight="1" x14ac:dyDescent="0.25">
      <c r="A48" s="6" t="s">
        <v>2022</v>
      </c>
      <c r="B48" s="7" t="s">
        <v>2023</v>
      </c>
      <c r="C48" s="8">
        <v>1</v>
      </c>
      <c r="D48" s="9">
        <v>19.989999999999998</v>
      </c>
      <c r="E48" s="8">
        <v>48086</v>
      </c>
      <c r="F48" s="7" t="s">
        <v>3720</v>
      </c>
      <c r="G48" s="10"/>
      <c r="H48" s="7" t="s">
        <v>3490</v>
      </c>
      <c r="I48" s="7" t="s">
        <v>3649</v>
      </c>
      <c r="J48" s="7" t="s">
        <v>3426</v>
      </c>
      <c r="K48" s="7" t="s">
        <v>3518</v>
      </c>
      <c r="L48" s="11" t="str">
        <f>HYPERLINK("http://slimages.macys.com/is/image/MCY/12936575 ")</f>
        <v xml:space="preserve">http://slimages.macys.com/is/image/MCY/12936575 </v>
      </c>
    </row>
    <row r="49" spans="1:12" ht="39.950000000000003" customHeight="1" x14ac:dyDescent="0.25">
      <c r="A49" s="6" t="s">
        <v>2024</v>
      </c>
      <c r="B49" s="7" t="s">
        <v>2025</v>
      </c>
      <c r="C49" s="8">
        <v>2</v>
      </c>
      <c r="D49" s="9">
        <v>76</v>
      </c>
      <c r="E49" s="8" t="s">
        <v>2026</v>
      </c>
      <c r="F49" s="7" t="s">
        <v>3535</v>
      </c>
      <c r="G49" s="10" t="s">
        <v>4031</v>
      </c>
      <c r="H49" s="7" t="s">
        <v>3635</v>
      </c>
      <c r="I49" s="7" t="s">
        <v>4326</v>
      </c>
      <c r="J49" s="7" t="s">
        <v>4367</v>
      </c>
      <c r="K49" s="7" t="s">
        <v>3556</v>
      </c>
      <c r="L49" s="11" t="str">
        <f>HYPERLINK("http://images.bloomingdales.com/is/image/BLM/10230973 ")</f>
        <v xml:space="preserve">http://images.bloomingdales.com/is/image/BLM/10230973 </v>
      </c>
    </row>
    <row r="50" spans="1:12" ht="39.950000000000003" customHeight="1" x14ac:dyDescent="0.25">
      <c r="A50" s="6" t="s">
        <v>2027</v>
      </c>
      <c r="B50" s="7" t="s">
        <v>2028</v>
      </c>
      <c r="C50" s="8">
        <v>1</v>
      </c>
      <c r="D50" s="9">
        <v>16.989999999999998</v>
      </c>
      <c r="E50" s="8" t="s">
        <v>2029</v>
      </c>
      <c r="F50" s="7" t="s">
        <v>3445</v>
      </c>
      <c r="G50" s="10" t="s">
        <v>2030</v>
      </c>
      <c r="H50" s="7" t="s">
        <v>3490</v>
      </c>
      <c r="I50" s="7" t="s">
        <v>3734</v>
      </c>
      <c r="J50" s="7" t="s">
        <v>3426</v>
      </c>
      <c r="K50" s="7" t="s">
        <v>3556</v>
      </c>
      <c r="L50" s="11" t="str">
        <f>HYPERLINK("http://slimages.macys.com/is/image/MCY/343290 ")</f>
        <v xml:space="preserve">http://slimages.macys.com/is/image/MCY/343290 </v>
      </c>
    </row>
    <row r="51" spans="1:12" ht="39.950000000000003" customHeight="1" x14ac:dyDescent="0.25">
      <c r="A51" s="6" t="s">
        <v>2573</v>
      </c>
      <c r="B51" s="7" t="s">
        <v>2574</v>
      </c>
      <c r="C51" s="8">
        <v>1</v>
      </c>
      <c r="D51" s="9">
        <v>16.989999999999998</v>
      </c>
      <c r="E51" s="8">
        <v>202007</v>
      </c>
      <c r="F51" s="7" t="s">
        <v>3445</v>
      </c>
      <c r="G51" s="10"/>
      <c r="H51" s="7" t="s">
        <v>3559</v>
      </c>
      <c r="I51" s="7" t="s">
        <v>2575</v>
      </c>
      <c r="J51" s="7" t="s">
        <v>3426</v>
      </c>
      <c r="K51" s="7" t="s">
        <v>2576</v>
      </c>
      <c r="L51" s="11" t="str">
        <f>HYPERLINK("http://slimages.macys.com/is/image/MCY/16053943 ")</f>
        <v xml:space="preserve">http://slimages.macys.com/is/image/MCY/16053943 </v>
      </c>
    </row>
    <row r="52" spans="1:12" ht="39.950000000000003" customHeight="1" x14ac:dyDescent="0.25">
      <c r="A52" s="6" t="s">
        <v>2031</v>
      </c>
      <c r="B52" s="7" t="s">
        <v>2032</v>
      </c>
      <c r="C52" s="8">
        <v>1</v>
      </c>
      <c r="D52" s="9">
        <v>19.989999999999998</v>
      </c>
      <c r="E52" s="8" t="s">
        <v>2033</v>
      </c>
      <c r="F52" s="7" t="s">
        <v>3610</v>
      </c>
      <c r="G52" s="10"/>
      <c r="H52" s="7" t="s">
        <v>3525</v>
      </c>
      <c r="I52" s="7" t="s">
        <v>2988</v>
      </c>
      <c r="J52" s="7" t="s">
        <v>3564</v>
      </c>
      <c r="K52" s="7"/>
      <c r="L52" s="11" t="str">
        <f>HYPERLINK("http://slimages.macys.com/is/image/MCY/9555683 ")</f>
        <v xml:space="preserve">http://slimages.macys.com/is/image/MCY/9555683 </v>
      </c>
    </row>
    <row r="53" spans="1:12" ht="39.950000000000003" customHeight="1" x14ac:dyDescent="0.25">
      <c r="A53" s="6" t="s">
        <v>2034</v>
      </c>
      <c r="B53" s="7" t="s">
        <v>2035</v>
      </c>
      <c r="C53" s="8">
        <v>1</v>
      </c>
      <c r="D53" s="9">
        <v>16.989999999999998</v>
      </c>
      <c r="E53" s="8" t="s">
        <v>2036</v>
      </c>
      <c r="F53" s="7" t="s">
        <v>3423</v>
      </c>
      <c r="G53" s="10" t="s">
        <v>3653</v>
      </c>
      <c r="H53" s="7" t="s">
        <v>3654</v>
      </c>
      <c r="I53" s="7" t="s">
        <v>3655</v>
      </c>
      <c r="J53" s="7" t="s">
        <v>3426</v>
      </c>
      <c r="K53" s="7" t="s">
        <v>3492</v>
      </c>
      <c r="L53" s="11" t="str">
        <f>HYPERLINK("http://slimages.macys.com/is/image/MCY/12737864 ")</f>
        <v xml:space="preserve">http://slimages.macys.com/is/image/MCY/12737864 </v>
      </c>
    </row>
    <row r="54" spans="1:12" ht="39.950000000000003" customHeight="1" x14ac:dyDescent="0.25">
      <c r="A54" s="6" t="s">
        <v>2037</v>
      </c>
      <c r="B54" s="7" t="s">
        <v>2038</v>
      </c>
      <c r="C54" s="8">
        <v>1</v>
      </c>
      <c r="D54" s="9">
        <v>16.989999999999998</v>
      </c>
      <c r="E54" s="8" t="s">
        <v>2039</v>
      </c>
      <c r="F54" s="7" t="s">
        <v>3477</v>
      </c>
      <c r="G54" s="10" t="s">
        <v>3653</v>
      </c>
      <c r="H54" s="7" t="s">
        <v>3654</v>
      </c>
      <c r="I54" s="7" t="s">
        <v>3655</v>
      </c>
      <c r="J54" s="7" t="s">
        <v>3426</v>
      </c>
      <c r="K54" s="7" t="s">
        <v>3492</v>
      </c>
      <c r="L54" s="11" t="str">
        <f>HYPERLINK("http://slimages.macys.com/is/image/MCY/12737864 ")</f>
        <v xml:space="preserve">http://slimages.macys.com/is/image/MCY/12737864 </v>
      </c>
    </row>
    <row r="55" spans="1:12" ht="39.950000000000003" customHeight="1" x14ac:dyDescent="0.25">
      <c r="A55" s="6" t="s">
        <v>2040</v>
      </c>
      <c r="B55" s="7" t="s">
        <v>2041</v>
      </c>
      <c r="C55" s="8">
        <v>1</v>
      </c>
      <c r="D55" s="9">
        <v>39.99</v>
      </c>
      <c r="E55" s="8" t="s">
        <v>2042</v>
      </c>
      <c r="F55" s="7" t="s">
        <v>3720</v>
      </c>
      <c r="G55" s="10"/>
      <c r="H55" s="7" t="s">
        <v>3458</v>
      </c>
      <c r="I55" s="7" t="s">
        <v>3459</v>
      </c>
      <c r="J55" s="7" t="s">
        <v>3426</v>
      </c>
      <c r="K55" s="7"/>
      <c r="L55" s="11" t="str">
        <f>HYPERLINK("http://slimages.macys.com/is/image/MCY/8433239 ")</f>
        <v xml:space="preserve">http://slimages.macys.com/is/image/MCY/8433239 </v>
      </c>
    </row>
    <row r="56" spans="1:12" ht="39.950000000000003" customHeight="1" x14ac:dyDescent="0.25">
      <c r="A56" s="6" t="s">
        <v>2043</v>
      </c>
      <c r="B56" s="7" t="s">
        <v>2044</v>
      </c>
      <c r="C56" s="8">
        <v>1</v>
      </c>
      <c r="D56" s="9">
        <v>29.99</v>
      </c>
      <c r="E56" s="8" t="s">
        <v>2045</v>
      </c>
      <c r="F56" s="7" t="s">
        <v>3445</v>
      </c>
      <c r="G56" s="10"/>
      <c r="H56" s="7" t="s">
        <v>3568</v>
      </c>
      <c r="I56" s="7" t="s">
        <v>4388</v>
      </c>
      <c r="J56" s="7" t="s">
        <v>3426</v>
      </c>
      <c r="K56" s="7" t="s">
        <v>4251</v>
      </c>
      <c r="L56" s="11" t="str">
        <f>HYPERLINK("http://slimages.macys.com/is/image/MCY/9356962 ")</f>
        <v xml:space="preserve">http://slimages.macys.com/is/image/MCY/9356962 </v>
      </c>
    </row>
    <row r="57" spans="1:12" ht="39.950000000000003" customHeight="1" x14ac:dyDescent="0.25">
      <c r="A57" s="6" t="s">
        <v>2046</v>
      </c>
      <c r="B57" s="7" t="s">
        <v>2047</v>
      </c>
      <c r="C57" s="8">
        <v>1</v>
      </c>
      <c r="D57" s="9">
        <v>7.99</v>
      </c>
      <c r="E57" s="8" t="s">
        <v>2048</v>
      </c>
      <c r="F57" s="7" t="s">
        <v>3535</v>
      </c>
      <c r="G57" s="10" t="s">
        <v>3653</v>
      </c>
      <c r="H57" s="7" t="s">
        <v>3635</v>
      </c>
      <c r="I57" s="7" t="s">
        <v>3508</v>
      </c>
      <c r="J57" s="7"/>
      <c r="K57" s="7"/>
      <c r="L57" s="11" t="str">
        <f>HYPERLINK("http://slimages.macys.com/is/image/MCY/17492917 ")</f>
        <v xml:space="preserve">http://slimages.macys.com/is/image/MCY/17492917 </v>
      </c>
    </row>
    <row r="58" spans="1:12" ht="39.950000000000003" customHeight="1" x14ac:dyDescent="0.25">
      <c r="A58" s="6" t="s">
        <v>2049</v>
      </c>
      <c r="B58" s="7" t="s">
        <v>2050</v>
      </c>
      <c r="C58" s="8">
        <v>1</v>
      </c>
      <c r="D58" s="9">
        <v>9.99</v>
      </c>
      <c r="E58" s="8" t="s">
        <v>2051</v>
      </c>
      <c r="F58" s="7" t="s">
        <v>3132</v>
      </c>
      <c r="G58" s="10" t="s">
        <v>3653</v>
      </c>
      <c r="H58" s="7" t="s">
        <v>3654</v>
      </c>
      <c r="I58" s="7" t="s">
        <v>3840</v>
      </c>
      <c r="J58" s="7" t="s">
        <v>3426</v>
      </c>
      <c r="K58" s="7" t="s">
        <v>3492</v>
      </c>
      <c r="L58" s="11" t="str">
        <f>HYPERLINK("http://slimages.macys.com/is/image/MCY/12723168 ")</f>
        <v xml:space="preserve">http://slimages.macys.com/is/image/MCY/12723168 </v>
      </c>
    </row>
    <row r="59" spans="1:12" ht="39.950000000000003" customHeight="1" x14ac:dyDescent="0.25">
      <c r="A59" s="6" t="s">
        <v>2052</v>
      </c>
      <c r="B59" s="7" t="s">
        <v>2053</v>
      </c>
      <c r="C59" s="8">
        <v>2</v>
      </c>
      <c r="D59" s="9">
        <v>36</v>
      </c>
      <c r="E59" s="8" t="s">
        <v>2054</v>
      </c>
      <c r="F59" s="7" t="s">
        <v>3535</v>
      </c>
      <c r="G59" s="10" t="s">
        <v>4360</v>
      </c>
      <c r="H59" s="7" t="s">
        <v>3635</v>
      </c>
      <c r="I59" s="7" t="s">
        <v>4326</v>
      </c>
      <c r="J59" s="7" t="s">
        <v>4367</v>
      </c>
      <c r="K59" s="7" t="s">
        <v>3185</v>
      </c>
      <c r="L59" s="11" t="str">
        <f>HYPERLINK("http://images.bloomingdales.com/is/image/BLM/10230973 ")</f>
        <v xml:space="preserve">http://images.bloomingdales.com/is/image/BLM/10230973 </v>
      </c>
    </row>
    <row r="60" spans="1:12" ht="39.950000000000003" customHeight="1" x14ac:dyDescent="0.25">
      <c r="A60" s="6" t="s">
        <v>2055</v>
      </c>
      <c r="B60" s="7" t="s">
        <v>2056</v>
      </c>
      <c r="C60" s="8">
        <v>1</v>
      </c>
      <c r="D60" s="9">
        <v>9.99</v>
      </c>
      <c r="E60" s="8">
        <v>1003699200</v>
      </c>
      <c r="F60" s="7" t="s">
        <v>3511</v>
      </c>
      <c r="G60" s="10" t="s">
        <v>4031</v>
      </c>
      <c r="H60" s="7" t="s">
        <v>3654</v>
      </c>
      <c r="I60" s="7" t="s">
        <v>3724</v>
      </c>
      <c r="J60" s="7" t="s">
        <v>3426</v>
      </c>
      <c r="K60" s="7" t="s">
        <v>3835</v>
      </c>
      <c r="L60" s="11" t="str">
        <f>HYPERLINK("http://slimages.macys.com/is/image/MCY/11480133 ")</f>
        <v xml:space="preserve">http://slimages.macys.com/is/image/MCY/11480133 </v>
      </c>
    </row>
    <row r="61" spans="1:12" ht="39.950000000000003" customHeight="1" x14ac:dyDescent="0.25">
      <c r="A61" s="6" t="s">
        <v>2057</v>
      </c>
      <c r="B61" s="7" t="s">
        <v>2058</v>
      </c>
      <c r="C61" s="8">
        <v>1</v>
      </c>
      <c r="D61" s="9">
        <v>5.99</v>
      </c>
      <c r="E61" s="8" t="s">
        <v>2059</v>
      </c>
      <c r="F61" s="7" t="s">
        <v>2552</v>
      </c>
      <c r="G61" s="10" t="s">
        <v>4031</v>
      </c>
      <c r="H61" s="7" t="s">
        <v>3635</v>
      </c>
      <c r="I61" s="7" t="s">
        <v>3508</v>
      </c>
      <c r="J61" s="7"/>
      <c r="K61" s="7"/>
      <c r="L61" s="11" t="str">
        <f>HYPERLINK("http://slimages.macys.com/is/image/MCY/17493081 ")</f>
        <v xml:space="preserve">http://slimages.macys.com/is/image/MCY/17493081 </v>
      </c>
    </row>
    <row r="62" spans="1:12" ht="39.950000000000003" customHeight="1" x14ac:dyDescent="0.25">
      <c r="A62" s="6" t="s">
        <v>2060</v>
      </c>
      <c r="B62" s="7" t="s">
        <v>2061</v>
      </c>
      <c r="C62" s="8">
        <v>3</v>
      </c>
      <c r="D62" s="9">
        <v>11.97</v>
      </c>
      <c r="E62" s="8" t="s">
        <v>2062</v>
      </c>
      <c r="F62" s="7" t="s">
        <v>2552</v>
      </c>
      <c r="G62" s="10" t="s">
        <v>4360</v>
      </c>
      <c r="H62" s="7" t="s">
        <v>3635</v>
      </c>
      <c r="I62" s="7" t="s">
        <v>3508</v>
      </c>
      <c r="J62" s="7"/>
      <c r="K62" s="7"/>
      <c r="L62" s="11" t="str">
        <f>HYPERLINK("http://slimages.macys.com/is/image/MCY/17493343 ")</f>
        <v xml:space="preserve">http://slimages.macys.com/is/image/MCY/17493343 </v>
      </c>
    </row>
    <row r="63" spans="1:12" ht="39.950000000000003" customHeight="1" x14ac:dyDescent="0.25">
      <c r="A63" s="6" t="s">
        <v>2063</v>
      </c>
      <c r="B63" s="7" t="s">
        <v>2064</v>
      </c>
      <c r="C63" s="8">
        <v>1</v>
      </c>
      <c r="D63" s="9">
        <v>59.99</v>
      </c>
      <c r="E63" s="8" t="s">
        <v>2065</v>
      </c>
      <c r="F63" s="7" t="s">
        <v>3445</v>
      </c>
      <c r="G63" s="10"/>
      <c r="H63" s="7" t="s">
        <v>3542</v>
      </c>
      <c r="I63" s="7" t="s">
        <v>4234</v>
      </c>
      <c r="J63" s="7"/>
      <c r="K63" s="7"/>
      <c r="L63" s="11"/>
    </row>
    <row r="64" spans="1:12" ht="39.950000000000003" customHeight="1" x14ac:dyDescent="0.25">
      <c r="A64" s="6" t="s">
        <v>3667</v>
      </c>
      <c r="B64" s="7" t="s">
        <v>3668</v>
      </c>
      <c r="C64" s="8">
        <v>2</v>
      </c>
      <c r="D64" s="9">
        <v>80</v>
      </c>
      <c r="E64" s="8"/>
      <c r="F64" s="7" t="s">
        <v>3610</v>
      </c>
      <c r="G64" s="10" t="s">
        <v>3489</v>
      </c>
      <c r="H64" s="7" t="s">
        <v>3669</v>
      </c>
      <c r="I64" s="7" t="s">
        <v>3670</v>
      </c>
      <c r="J64" s="7"/>
      <c r="K64" s="7"/>
      <c r="L64" s="11"/>
    </row>
  </sheetData>
  <phoneticPr fontId="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2066</v>
      </c>
      <c r="B2" s="7" t="s">
        <v>2067</v>
      </c>
      <c r="C2" s="8">
        <v>1</v>
      </c>
      <c r="D2" s="9">
        <v>440</v>
      </c>
      <c r="E2" s="8" t="s">
        <v>2068</v>
      </c>
      <c r="F2" s="7" t="s">
        <v>3477</v>
      </c>
      <c r="G2" s="10"/>
      <c r="H2" s="7" t="s">
        <v>3424</v>
      </c>
      <c r="I2" s="7" t="s">
        <v>2909</v>
      </c>
      <c r="J2" s="7" t="s">
        <v>3613</v>
      </c>
      <c r="K2" s="7" t="s">
        <v>2069</v>
      </c>
      <c r="L2" s="11" t="str">
        <f>HYPERLINK("http://images.bloomingdales.com/is/image/BLM/10169642 ")</f>
        <v xml:space="preserve">http://images.bloomingdales.com/is/image/BLM/10169642 </v>
      </c>
    </row>
    <row r="3" spans="1:12" ht="39.950000000000003" customHeight="1" x14ac:dyDescent="0.25">
      <c r="A3" s="6" t="s">
        <v>2070</v>
      </c>
      <c r="B3" s="7" t="s">
        <v>2071</v>
      </c>
      <c r="C3" s="8">
        <v>1</v>
      </c>
      <c r="D3" s="9">
        <v>399.99</v>
      </c>
      <c r="E3" s="8" t="s">
        <v>2072</v>
      </c>
      <c r="F3" s="7" t="s">
        <v>3445</v>
      </c>
      <c r="G3" s="10"/>
      <c r="H3" s="7" t="s">
        <v>3676</v>
      </c>
      <c r="I3" s="7" t="s">
        <v>3704</v>
      </c>
      <c r="J3" s="7" t="s">
        <v>3426</v>
      </c>
      <c r="K3" s="7" t="s">
        <v>2596</v>
      </c>
      <c r="L3" s="11" t="str">
        <f>HYPERLINK("http://slimages.macys.com/is/image/MCY/3974565 ")</f>
        <v xml:space="preserve">http://slimages.macys.com/is/image/MCY/3974565 </v>
      </c>
    </row>
    <row r="4" spans="1:12" ht="39.950000000000003" customHeight="1" x14ac:dyDescent="0.25">
      <c r="A4" s="6" t="s">
        <v>2073</v>
      </c>
      <c r="B4" s="7" t="s">
        <v>2074</v>
      </c>
      <c r="C4" s="8">
        <v>1</v>
      </c>
      <c r="D4" s="9">
        <v>179.99</v>
      </c>
      <c r="E4" s="8">
        <v>21648422</v>
      </c>
      <c r="F4" s="7" t="s">
        <v>3477</v>
      </c>
      <c r="G4" s="10"/>
      <c r="H4" s="7" t="s">
        <v>3478</v>
      </c>
      <c r="I4" s="7" t="s">
        <v>3517</v>
      </c>
      <c r="J4" s="7" t="s">
        <v>3426</v>
      </c>
      <c r="K4" s="7" t="s">
        <v>2075</v>
      </c>
      <c r="L4" s="11" t="str">
        <f>HYPERLINK("http://slimages.macys.com/is/image/MCY/15809910 ")</f>
        <v xml:space="preserve">http://slimages.macys.com/is/image/MCY/15809910 </v>
      </c>
    </row>
    <row r="5" spans="1:12" ht="39.950000000000003" customHeight="1" x14ac:dyDescent="0.25">
      <c r="A5" s="6" t="s">
        <v>2076</v>
      </c>
      <c r="B5" s="7" t="s">
        <v>2077</v>
      </c>
      <c r="C5" s="8">
        <v>1</v>
      </c>
      <c r="D5" s="9">
        <v>169.99</v>
      </c>
      <c r="E5" s="8" t="s">
        <v>2078</v>
      </c>
      <c r="F5" s="7" t="s">
        <v>3431</v>
      </c>
      <c r="G5" s="10"/>
      <c r="H5" s="7" t="s">
        <v>3424</v>
      </c>
      <c r="I5" s="7" t="s">
        <v>3508</v>
      </c>
      <c r="J5" s="7"/>
      <c r="K5" s="7"/>
      <c r="L5" s="11" t="str">
        <f>HYPERLINK("http://slimages.macys.com/is/image/MCY/18039189 ")</f>
        <v xml:space="preserve">http://slimages.macys.com/is/image/MCY/18039189 </v>
      </c>
    </row>
    <row r="6" spans="1:12" ht="39.950000000000003" customHeight="1" x14ac:dyDescent="0.25">
      <c r="A6" s="6" t="s">
        <v>2079</v>
      </c>
      <c r="B6" s="7" t="s">
        <v>2080</v>
      </c>
      <c r="C6" s="8">
        <v>1</v>
      </c>
      <c r="D6" s="9">
        <v>199.99</v>
      </c>
      <c r="E6" s="8" t="s">
        <v>2081</v>
      </c>
      <c r="F6" s="7" t="s">
        <v>3431</v>
      </c>
      <c r="G6" s="10" t="s">
        <v>3439</v>
      </c>
      <c r="H6" s="7" t="s">
        <v>3572</v>
      </c>
      <c r="I6" s="7" t="s">
        <v>3724</v>
      </c>
      <c r="J6" s="7" t="s">
        <v>3426</v>
      </c>
      <c r="K6" s="7" t="s">
        <v>2082</v>
      </c>
      <c r="L6" s="11" t="str">
        <f>HYPERLINK("http://slimages.macys.com/is/image/MCY/10264817 ")</f>
        <v xml:space="preserve">http://slimages.macys.com/is/image/MCY/10264817 </v>
      </c>
    </row>
    <row r="7" spans="1:12" ht="39.950000000000003" customHeight="1" x14ac:dyDescent="0.25">
      <c r="A7" s="6" t="s">
        <v>2083</v>
      </c>
      <c r="B7" s="7" t="s">
        <v>2084</v>
      </c>
      <c r="C7" s="8">
        <v>1</v>
      </c>
      <c r="D7" s="9">
        <v>119.99</v>
      </c>
      <c r="E7" s="8">
        <v>218134</v>
      </c>
      <c r="F7" s="7" t="s">
        <v>3496</v>
      </c>
      <c r="G7" s="10"/>
      <c r="H7" s="7" t="s">
        <v>3695</v>
      </c>
      <c r="I7" s="7" t="s">
        <v>1971</v>
      </c>
      <c r="J7" s="7" t="s">
        <v>3426</v>
      </c>
      <c r="K7" s="7" t="s">
        <v>3811</v>
      </c>
      <c r="L7" s="11" t="str">
        <f>HYPERLINK("http://slimages.macys.com/is/image/MCY/12791969 ")</f>
        <v xml:space="preserve">http://slimages.macys.com/is/image/MCY/12791969 </v>
      </c>
    </row>
    <row r="8" spans="1:12" ht="39.950000000000003" customHeight="1" x14ac:dyDescent="0.25">
      <c r="A8" s="6" t="s">
        <v>2085</v>
      </c>
      <c r="B8" s="7" t="s">
        <v>2086</v>
      </c>
      <c r="C8" s="8">
        <v>1</v>
      </c>
      <c r="D8" s="9">
        <v>119.99</v>
      </c>
      <c r="E8" s="8" t="s">
        <v>2087</v>
      </c>
      <c r="F8" s="7" t="s">
        <v>3431</v>
      </c>
      <c r="G8" s="10"/>
      <c r="H8" s="7" t="s">
        <v>3452</v>
      </c>
      <c r="I8" s="7" t="s">
        <v>3453</v>
      </c>
      <c r="J8" s="7"/>
      <c r="K8" s="7"/>
      <c r="L8" s="11" t="str">
        <f>HYPERLINK("http://slimages.macys.com/is/image/MCY/16633327 ")</f>
        <v xml:space="preserve">http://slimages.macys.com/is/image/MCY/16633327 </v>
      </c>
    </row>
    <row r="9" spans="1:12" ht="39.950000000000003" customHeight="1" x14ac:dyDescent="0.25">
      <c r="A9" s="6" t="s">
        <v>2088</v>
      </c>
      <c r="B9" s="7" t="s">
        <v>2089</v>
      </c>
      <c r="C9" s="8">
        <v>1</v>
      </c>
      <c r="D9" s="9">
        <v>59.99</v>
      </c>
      <c r="E9" s="8" t="s">
        <v>2090</v>
      </c>
      <c r="F9" s="7" t="s">
        <v>3463</v>
      </c>
      <c r="G9" s="10"/>
      <c r="H9" s="7" t="s">
        <v>3542</v>
      </c>
      <c r="I9" s="7" t="s">
        <v>4234</v>
      </c>
      <c r="J9" s="7" t="s">
        <v>3426</v>
      </c>
      <c r="K9" s="7" t="s">
        <v>4251</v>
      </c>
      <c r="L9" s="11" t="str">
        <f>HYPERLINK("http://slimages.macys.com/is/image/MCY/15390117 ")</f>
        <v xml:space="preserve">http://slimages.macys.com/is/image/MCY/15390117 </v>
      </c>
    </row>
    <row r="10" spans="1:12" ht="39.950000000000003" customHeight="1" x14ac:dyDescent="0.25">
      <c r="A10" s="6" t="s">
        <v>2091</v>
      </c>
      <c r="B10" s="7" t="s">
        <v>2092</v>
      </c>
      <c r="C10" s="8">
        <v>1</v>
      </c>
      <c r="D10" s="9">
        <v>99.99</v>
      </c>
      <c r="E10" s="8" t="s">
        <v>2093</v>
      </c>
      <c r="F10" s="7" t="s">
        <v>3500</v>
      </c>
      <c r="G10" s="10"/>
      <c r="H10" s="7" t="s">
        <v>3452</v>
      </c>
      <c r="I10" s="7" t="s">
        <v>3834</v>
      </c>
      <c r="J10" s="7" t="s">
        <v>3426</v>
      </c>
      <c r="K10" s="7" t="s">
        <v>2094</v>
      </c>
      <c r="L10" s="11" t="str">
        <f>HYPERLINK("http://slimages.macys.com/is/image/MCY/14601004 ")</f>
        <v xml:space="preserve">http://slimages.macys.com/is/image/MCY/14601004 </v>
      </c>
    </row>
    <row r="11" spans="1:12" ht="39.950000000000003" customHeight="1" x14ac:dyDescent="0.25">
      <c r="A11" s="6" t="s">
        <v>2095</v>
      </c>
      <c r="B11" s="7" t="s">
        <v>2096</v>
      </c>
      <c r="C11" s="8">
        <v>1</v>
      </c>
      <c r="D11" s="9">
        <v>59.99</v>
      </c>
      <c r="E11" s="8" t="s">
        <v>2097</v>
      </c>
      <c r="F11" s="7" t="s">
        <v>3504</v>
      </c>
      <c r="G11" s="10"/>
      <c r="H11" s="7" t="s">
        <v>3542</v>
      </c>
      <c r="I11" s="7" t="s">
        <v>4234</v>
      </c>
      <c r="J11" s="7" t="s">
        <v>3426</v>
      </c>
      <c r="K11" s="7" t="s">
        <v>3447</v>
      </c>
      <c r="L11" s="11" t="str">
        <f>HYPERLINK("http://slimages.macys.com/is/image/MCY/13036438 ")</f>
        <v xml:space="preserve">http://slimages.macys.com/is/image/MCY/13036438 </v>
      </c>
    </row>
    <row r="12" spans="1:12" ht="39.950000000000003" customHeight="1" x14ac:dyDescent="0.25">
      <c r="A12" s="6" t="s">
        <v>1963</v>
      </c>
      <c r="B12" s="7" t="s">
        <v>1964</v>
      </c>
      <c r="C12" s="8">
        <v>1</v>
      </c>
      <c r="D12" s="9">
        <v>59.99</v>
      </c>
      <c r="E12" s="8" t="s">
        <v>1965</v>
      </c>
      <c r="F12" s="7" t="s">
        <v>3938</v>
      </c>
      <c r="G12" s="10"/>
      <c r="H12" s="7" t="s">
        <v>3542</v>
      </c>
      <c r="I12" s="7" t="s">
        <v>4234</v>
      </c>
      <c r="J12" s="7" t="s">
        <v>3426</v>
      </c>
      <c r="K12" s="7" t="s">
        <v>3447</v>
      </c>
      <c r="L12" s="11" t="str">
        <f>HYPERLINK("http://slimages.macys.com/is/image/MCY/13036438 ")</f>
        <v xml:space="preserve">http://slimages.macys.com/is/image/MCY/13036438 </v>
      </c>
    </row>
    <row r="13" spans="1:12" ht="39.950000000000003" customHeight="1" x14ac:dyDescent="0.25">
      <c r="A13" s="6" t="s">
        <v>2098</v>
      </c>
      <c r="B13" s="7" t="s">
        <v>2099</v>
      </c>
      <c r="C13" s="8">
        <v>1</v>
      </c>
      <c r="D13" s="9">
        <v>79.989999999999995</v>
      </c>
      <c r="E13" s="8" t="s">
        <v>2100</v>
      </c>
      <c r="F13" s="7" t="s">
        <v>3445</v>
      </c>
      <c r="G13" s="10" t="s">
        <v>3617</v>
      </c>
      <c r="H13" s="7" t="s">
        <v>3559</v>
      </c>
      <c r="I13" s="7" t="s">
        <v>4277</v>
      </c>
      <c r="J13" s="7" t="s">
        <v>3426</v>
      </c>
      <c r="K13" s="7" t="s">
        <v>3518</v>
      </c>
      <c r="L13" s="11" t="str">
        <f>HYPERLINK("http://slimages.macys.com/is/image/MCY/2155717 ")</f>
        <v xml:space="preserve">http://slimages.macys.com/is/image/MCY/2155717 </v>
      </c>
    </row>
    <row r="14" spans="1:12" ht="39.950000000000003" customHeight="1" x14ac:dyDescent="0.25">
      <c r="A14" s="6" t="s">
        <v>2101</v>
      </c>
      <c r="B14" s="7" t="s">
        <v>2102</v>
      </c>
      <c r="C14" s="8">
        <v>1</v>
      </c>
      <c r="D14" s="9">
        <v>66.989999999999995</v>
      </c>
      <c r="E14" s="8" t="s">
        <v>2103</v>
      </c>
      <c r="F14" s="7" t="s">
        <v>3445</v>
      </c>
      <c r="G14" s="10" t="s">
        <v>3439</v>
      </c>
      <c r="H14" s="7" t="s">
        <v>2471</v>
      </c>
      <c r="I14" s="7" t="s">
        <v>3777</v>
      </c>
      <c r="J14" s="7" t="s">
        <v>3426</v>
      </c>
      <c r="K14" s="7" t="s">
        <v>3518</v>
      </c>
      <c r="L14" s="11" t="str">
        <f>HYPERLINK("http://slimages.macys.com/is/image/MCY/15688048 ")</f>
        <v xml:space="preserve">http://slimages.macys.com/is/image/MCY/15688048 </v>
      </c>
    </row>
    <row r="15" spans="1:12" ht="39.950000000000003" customHeight="1" x14ac:dyDescent="0.25">
      <c r="A15" s="6" t="s">
        <v>1972</v>
      </c>
      <c r="B15" s="7" t="s">
        <v>1973</v>
      </c>
      <c r="C15" s="8">
        <v>1</v>
      </c>
      <c r="D15" s="9">
        <v>69.989999999999995</v>
      </c>
      <c r="E15" s="8" t="s">
        <v>4303</v>
      </c>
      <c r="F15" s="7" t="s">
        <v>3477</v>
      </c>
      <c r="G15" s="10"/>
      <c r="H15" s="7" t="s">
        <v>3452</v>
      </c>
      <c r="I15" s="7" t="s">
        <v>3834</v>
      </c>
      <c r="J15" s="7" t="s">
        <v>3426</v>
      </c>
      <c r="K15" s="7" t="s">
        <v>3556</v>
      </c>
      <c r="L15" s="11" t="str">
        <f>HYPERLINK("http://slimages.macys.com/is/image/MCY/9940182 ")</f>
        <v xml:space="preserve">http://slimages.macys.com/is/image/MCY/9940182 </v>
      </c>
    </row>
    <row r="16" spans="1:12" ht="39.950000000000003" customHeight="1" x14ac:dyDescent="0.25">
      <c r="A16" s="6" t="s">
        <v>2104</v>
      </c>
      <c r="B16" s="7" t="s">
        <v>2105</v>
      </c>
      <c r="C16" s="8">
        <v>1</v>
      </c>
      <c r="D16" s="9">
        <v>94.99</v>
      </c>
      <c r="E16" s="8" t="s">
        <v>2106</v>
      </c>
      <c r="F16" s="7" t="s">
        <v>3477</v>
      </c>
      <c r="G16" s="10" t="s">
        <v>3547</v>
      </c>
      <c r="H16" s="7" t="s">
        <v>3525</v>
      </c>
      <c r="I16" s="7" t="s">
        <v>3704</v>
      </c>
      <c r="J16" s="7" t="s">
        <v>3426</v>
      </c>
      <c r="K16" s="7" t="s">
        <v>2107</v>
      </c>
      <c r="L16" s="11" t="str">
        <f>HYPERLINK("http://slimages.macys.com/is/image/MCY/13121400 ")</f>
        <v xml:space="preserve">http://slimages.macys.com/is/image/MCY/13121400 </v>
      </c>
    </row>
    <row r="17" spans="1:12" ht="39.950000000000003" customHeight="1" x14ac:dyDescent="0.25">
      <c r="A17" s="6" t="s">
        <v>2108</v>
      </c>
      <c r="B17" s="7" t="s">
        <v>2109</v>
      </c>
      <c r="C17" s="8">
        <v>4</v>
      </c>
      <c r="D17" s="9">
        <v>195.96</v>
      </c>
      <c r="E17" s="8" t="s">
        <v>2110</v>
      </c>
      <c r="F17" s="7" t="s">
        <v>2870</v>
      </c>
      <c r="G17" s="10"/>
      <c r="H17" s="7" t="s">
        <v>3490</v>
      </c>
      <c r="I17" s="7" t="s">
        <v>3943</v>
      </c>
      <c r="J17" s="7" t="s">
        <v>3426</v>
      </c>
      <c r="K17" s="7" t="s">
        <v>3518</v>
      </c>
      <c r="L17" s="11" t="str">
        <f>HYPERLINK("http://slimages.macys.com/is/image/MCY/9168734 ")</f>
        <v xml:space="preserve">http://slimages.macys.com/is/image/MCY/9168734 </v>
      </c>
    </row>
    <row r="18" spans="1:12" ht="39.950000000000003" customHeight="1" x14ac:dyDescent="0.25">
      <c r="A18" s="6" t="s">
        <v>2111</v>
      </c>
      <c r="B18" s="7" t="s">
        <v>2112</v>
      </c>
      <c r="C18" s="8">
        <v>1</v>
      </c>
      <c r="D18" s="9">
        <v>39.99</v>
      </c>
      <c r="E18" s="8" t="s">
        <v>2113</v>
      </c>
      <c r="F18" s="7" t="s">
        <v>3457</v>
      </c>
      <c r="G18" s="10"/>
      <c r="H18" s="7" t="s">
        <v>3458</v>
      </c>
      <c r="I18" s="7" t="s">
        <v>3459</v>
      </c>
      <c r="J18" s="7" t="s">
        <v>3426</v>
      </c>
      <c r="K18" s="7" t="s">
        <v>3980</v>
      </c>
      <c r="L18" s="11" t="str">
        <f>HYPERLINK("http://slimages.macys.com/is/image/MCY/11607139 ")</f>
        <v xml:space="preserve">http://slimages.macys.com/is/image/MCY/11607139 </v>
      </c>
    </row>
    <row r="19" spans="1:12" ht="39.950000000000003" customHeight="1" x14ac:dyDescent="0.25">
      <c r="A19" s="6" t="s">
        <v>2114</v>
      </c>
      <c r="B19" s="7" t="s">
        <v>2115</v>
      </c>
      <c r="C19" s="8">
        <v>1</v>
      </c>
      <c r="D19" s="9">
        <v>48.99</v>
      </c>
      <c r="E19" s="8" t="s">
        <v>2116</v>
      </c>
      <c r="F19" s="7" t="s">
        <v>3445</v>
      </c>
      <c r="G19" s="10" t="s">
        <v>3127</v>
      </c>
      <c r="H19" s="7" t="s">
        <v>3559</v>
      </c>
      <c r="I19" s="7" t="s">
        <v>3756</v>
      </c>
      <c r="J19" s="7" t="s">
        <v>3601</v>
      </c>
      <c r="K19" s="7" t="s">
        <v>2117</v>
      </c>
      <c r="L19" s="11" t="str">
        <f>HYPERLINK("http://slimages.macys.com/is/image/MCY/11798178 ")</f>
        <v xml:space="preserve">http://slimages.macys.com/is/image/MCY/11798178 </v>
      </c>
    </row>
    <row r="20" spans="1:12" ht="39.950000000000003" customHeight="1" x14ac:dyDescent="0.25">
      <c r="A20" s="6" t="s">
        <v>2118</v>
      </c>
      <c r="B20" s="7" t="s">
        <v>2119</v>
      </c>
      <c r="C20" s="8">
        <v>1</v>
      </c>
      <c r="D20" s="9">
        <v>49.99</v>
      </c>
      <c r="E20" s="8" t="s">
        <v>2120</v>
      </c>
      <c r="F20" s="7" t="s">
        <v>3496</v>
      </c>
      <c r="G20" s="10"/>
      <c r="H20" s="7" t="s">
        <v>3478</v>
      </c>
      <c r="I20" s="7" t="s">
        <v>3517</v>
      </c>
      <c r="J20" s="7" t="s">
        <v>3426</v>
      </c>
      <c r="K20" s="7" t="s">
        <v>3518</v>
      </c>
      <c r="L20" s="11" t="str">
        <f>HYPERLINK("http://slimages.macys.com/is/image/MCY/8347198 ")</f>
        <v xml:space="preserve">http://slimages.macys.com/is/image/MCY/8347198 </v>
      </c>
    </row>
    <row r="21" spans="1:12" ht="39.950000000000003" customHeight="1" x14ac:dyDescent="0.25">
      <c r="A21" s="6" t="s">
        <v>2121</v>
      </c>
      <c r="B21" s="7" t="s">
        <v>2122</v>
      </c>
      <c r="C21" s="8">
        <v>2</v>
      </c>
      <c r="D21" s="9">
        <v>95.98</v>
      </c>
      <c r="E21" s="8" t="s">
        <v>2123</v>
      </c>
      <c r="F21" s="7" t="s">
        <v>3445</v>
      </c>
      <c r="G21" s="10" t="s">
        <v>4156</v>
      </c>
      <c r="H21" s="7" t="s">
        <v>3490</v>
      </c>
      <c r="I21" s="7" t="s">
        <v>4354</v>
      </c>
      <c r="J21" s="7" t="s">
        <v>3426</v>
      </c>
      <c r="K21" s="7" t="s">
        <v>3556</v>
      </c>
      <c r="L21" s="11" t="str">
        <f>HYPERLINK("http://slimages.macys.com/is/image/MCY/11629109 ")</f>
        <v xml:space="preserve">http://slimages.macys.com/is/image/MCY/11629109 </v>
      </c>
    </row>
    <row r="22" spans="1:12" ht="39.950000000000003" customHeight="1" x14ac:dyDescent="0.25">
      <c r="A22" s="6" t="s">
        <v>2124</v>
      </c>
      <c r="B22" s="7" t="s">
        <v>2125</v>
      </c>
      <c r="C22" s="8">
        <v>1</v>
      </c>
      <c r="D22" s="9">
        <v>47.99</v>
      </c>
      <c r="E22" s="8" t="s">
        <v>2126</v>
      </c>
      <c r="F22" s="7" t="s">
        <v>3445</v>
      </c>
      <c r="G22" s="10"/>
      <c r="H22" s="7" t="s">
        <v>3490</v>
      </c>
      <c r="I22" s="7" t="s">
        <v>4354</v>
      </c>
      <c r="J22" s="7" t="s">
        <v>3426</v>
      </c>
      <c r="K22" s="7" t="s">
        <v>3556</v>
      </c>
      <c r="L22" s="11" t="str">
        <f>HYPERLINK("http://slimages.macys.com/is/image/MCY/11630485 ")</f>
        <v xml:space="preserve">http://slimages.macys.com/is/image/MCY/11630485 </v>
      </c>
    </row>
    <row r="23" spans="1:12" ht="39.950000000000003" customHeight="1" x14ac:dyDescent="0.25">
      <c r="A23" s="6" t="s">
        <v>2127</v>
      </c>
      <c r="B23" s="7" t="s">
        <v>2128</v>
      </c>
      <c r="C23" s="8">
        <v>1</v>
      </c>
      <c r="D23" s="9">
        <v>29.99</v>
      </c>
      <c r="E23" s="8" t="s">
        <v>2129</v>
      </c>
      <c r="F23" s="7" t="s">
        <v>3431</v>
      </c>
      <c r="G23" s="10" t="s">
        <v>2503</v>
      </c>
      <c r="H23" s="7" t="s">
        <v>3695</v>
      </c>
      <c r="I23" s="7" t="s">
        <v>4250</v>
      </c>
      <c r="J23" s="7" t="s">
        <v>3426</v>
      </c>
      <c r="K23" s="7"/>
      <c r="L23" s="11" t="str">
        <f>HYPERLINK("http://slimages.macys.com/is/image/MCY/11531889 ")</f>
        <v xml:space="preserve">http://slimages.macys.com/is/image/MCY/11531889 </v>
      </c>
    </row>
    <row r="24" spans="1:12" ht="39.950000000000003" customHeight="1" x14ac:dyDescent="0.25">
      <c r="A24" s="6" t="s">
        <v>2130</v>
      </c>
      <c r="B24" s="7" t="s">
        <v>2131</v>
      </c>
      <c r="C24" s="8">
        <v>1</v>
      </c>
      <c r="D24" s="9">
        <v>38.99</v>
      </c>
      <c r="E24" s="8" t="s">
        <v>2132</v>
      </c>
      <c r="F24" s="7" t="s">
        <v>3674</v>
      </c>
      <c r="G24" s="10"/>
      <c r="H24" s="7" t="s">
        <v>3478</v>
      </c>
      <c r="I24" s="7" t="s">
        <v>4113</v>
      </c>
      <c r="J24" s="7" t="s">
        <v>3426</v>
      </c>
      <c r="K24" s="7" t="s">
        <v>4300</v>
      </c>
      <c r="L24" s="11" t="str">
        <f>HYPERLINK("http://slimages.macys.com/is/image/MCY/13314412 ")</f>
        <v xml:space="preserve">http://slimages.macys.com/is/image/MCY/13314412 </v>
      </c>
    </row>
    <row r="25" spans="1:12" ht="39.950000000000003" customHeight="1" x14ac:dyDescent="0.25">
      <c r="A25" s="6" t="s">
        <v>4355</v>
      </c>
      <c r="B25" s="7" t="s">
        <v>4356</v>
      </c>
      <c r="C25" s="8">
        <v>3</v>
      </c>
      <c r="D25" s="9">
        <v>50.97</v>
      </c>
      <c r="E25" s="8" t="s">
        <v>4357</v>
      </c>
      <c r="F25" s="7" t="s">
        <v>3445</v>
      </c>
      <c r="G25" s="10"/>
      <c r="H25" s="7" t="s">
        <v>3559</v>
      </c>
      <c r="I25" s="7" t="s">
        <v>3996</v>
      </c>
      <c r="J25" s="7"/>
      <c r="K25" s="7"/>
      <c r="L25" s="11" t="str">
        <f>HYPERLINK("http://slimages.macys.com/is/image/MCY/17934766 ")</f>
        <v xml:space="preserve">http://slimages.macys.com/is/image/MCY/17934766 </v>
      </c>
    </row>
    <row r="26" spans="1:12" ht="39.950000000000003" customHeight="1" x14ac:dyDescent="0.25">
      <c r="A26" s="6" t="s">
        <v>2133</v>
      </c>
      <c r="B26" s="7" t="s">
        <v>2134</v>
      </c>
      <c r="C26" s="8">
        <v>1</v>
      </c>
      <c r="D26" s="9">
        <v>29.99</v>
      </c>
      <c r="E26" s="8" t="s">
        <v>2135</v>
      </c>
      <c r="F26" s="7" t="s">
        <v>3496</v>
      </c>
      <c r="G26" s="10"/>
      <c r="H26" s="7" t="s">
        <v>3542</v>
      </c>
      <c r="I26" s="7" t="s">
        <v>3829</v>
      </c>
      <c r="J26" s="7"/>
      <c r="K26" s="7"/>
      <c r="L26" s="11" t="str">
        <f>HYPERLINK("http://slimages.macys.com/is/image/MCY/17923602 ")</f>
        <v xml:space="preserve">http://slimages.macys.com/is/image/MCY/17923602 </v>
      </c>
    </row>
    <row r="27" spans="1:12" ht="39.950000000000003" customHeight="1" x14ac:dyDescent="0.25">
      <c r="A27" s="6" t="s">
        <v>2136</v>
      </c>
      <c r="B27" s="7" t="s">
        <v>2137</v>
      </c>
      <c r="C27" s="8">
        <v>1</v>
      </c>
      <c r="D27" s="9">
        <v>20.99</v>
      </c>
      <c r="E27" s="8" t="s">
        <v>2138</v>
      </c>
      <c r="F27" s="7" t="s">
        <v>3451</v>
      </c>
      <c r="G27" s="10"/>
      <c r="H27" s="7" t="s">
        <v>3583</v>
      </c>
      <c r="I27" s="7" t="s">
        <v>2139</v>
      </c>
      <c r="J27" s="7"/>
      <c r="K27" s="7"/>
      <c r="L27" s="11" t="str">
        <f>HYPERLINK("http://slimages.macys.com/is/image/MCY/17557482 ")</f>
        <v xml:space="preserve">http://slimages.macys.com/is/image/MCY/17557482 </v>
      </c>
    </row>
    <row r="28" spans="1:12" ht="39.950000000000003" customHeight="1" x14ac:dyDescent="0.25">
      <c r="A28" s="6" t="s">
        <v>2140</v>
      </c>
      <c r="B28" s="7" t="s">
        <v>2141</v>
      </c>
      <c r="C28" s="8">
        <v>1</v>
      </c>
      <c r="D28" s="9">
        <v>19.989999999999998</v>
      </c>
      <c r="E28" s="8">
        <v>56509</v>
      </c>
      <c r="F28" s="7" t="s">
        <v>3445</v>
      </c>
      <c r="G28" s="10"/>
      <c r="H28" s="7" t="s">
        <v>3490</v>
      </c>
      <c r="I28" s="7" t="s">
        <v>3649</v>
      </c>
      <c r="J28" s="7" t="s">
        <v>3426</v>
      </c>
      <c r="K28" s="7" t="s">
        <v>3518</v>
      </c>
      <c r="L28" s="11" t="str">
        <f>HYPERLINK("http://slimages.macys.com/is/image/MCY/16060018 ")</f>
        <v xml:space="preserve">http://slimages.macys.com/is/image/MCY/16060018 </v>
      </c>
    </row>
    <row r="29" spans="1:12" ht="39.950000000000003" customHeight="1" x14ac:dyDescent="0.25">
      <c r="A29" s="6" t="s">
        <v>2142</v>
      </c>
      <c r="B29" s="7" t="s">
        <v>2143</v>
      </c>
      <c r="C29" s="8">
        <v>1</v>
      </c>
      <c r="D29" s="9">
        <v>25.99</v>
      </c>
      <c r="E29" s="8" t="s">
        <v>2144</v>
      </c>
      <c r="F29" s="7" t="s">
        <v>3541</v>
      </c>
      <c r="G29" s="10"/>
      <c r="H29" s="7" t="s">
        <v>2991</v>
      </c>
      <c r="I29" s="7" t="s">
        <v>2145</v>
      </c>
      <c r="J29" s="7" t="s">
        <v>3601</v>
      </c>
      <c r="K29" s="7" t="s">
        <v>2146</v>
      </c>
      <c r="L29" s="11" t="str">
        <f>HYPERLINK("http://slimages.macys.com/is/image/MCY/9898874 ")</f>
        <v xml:space="preserve">http://slimages.macys.com/is/image/MCY/9898874 </v>
      </c>
    </row>
    <row r="30" spans="1:12" ht="39.950000000000003" customHeight="1" x14ac:dyDescent="0.25">
      <c r="A30" s="6" t="s">
        <v>2147</v>
      </c>
      <c r="B30" s="7" t="s">
        <v>2148</v>
      </c>
      <c r="C30" s="8">
        <v>1</v>
      </c>
      <c r="D30" s="9">
        <v>16.989999999999998</v>
      </c>
      <c r="E30" s="8" t="s">
        <v>2716</v>
      </c>
      <c r="F30" s="7" t="s">
        <v>3535</v>
      </c>
      <c r="G30" s="10"/>
      <c r="H30" s="7" t="s">
        <v>3542</v>
      </c>
      <c r="I30" s="7" t="s">
        <v>3829</v>
      </c>
      <c r="J30" s="7" t="s">
        <v>3426</v>
      </c>
      <c r="K30" s="7" t="s">
        <v>3518</v>
      </c>
      <c r="L30" s="11" t="str">
        <f>HYPERLINK("http://slimages.macys.com/is/image/MCY/8967150 ")</f>
        <v xml:space="preserve">http://slimages.macys.com/is/image/MCY/8967150 </v>
      </c>
    </row>
    <row r="31" spans="1:12" ht="39.950000000000003" customHeight="1" x14ac:dyDescent="0.25">
      <c r="A31" s="6" t="s">
        <v>2149</v>
      </c>
      <c r="B31" s="7" t="s">
        <v>2150</v>
      </c>
      <c r="C31" s="8">
        <v>1</v>
      </c>
      <c r="D31" s="9">
        <v>2.99</v>
      </c>
      <c r="E31" s="8">
        <v>1009788100</v>
      </c>
      <c r="F31" s="7" t="s">
        <v>3445</v>
      </c>
      <c r="G31" s="10" t="s">
        <v>4360</v>
      </c>
      <c r="H31" s="7" t="s">
        <v>3654</v>
      </c>
      <c r="I31" s="7" t="s">
        <v>1500</v>
      </c>
      <c r="J31" s="7"/>
      <c r="K31" s="7"/>
      <c r="L31" s="11" t="str">
        <f>HYPERLINK("http://slimages.macys.com/is/image/MCY/16520272 ")</f>
        <v xml:space="preserve">http://slimages.macys.com/is/image/MCY/16520272 </v>
      </c>
    </row>
    <row r="32" spans="1:12" ht="39.950000000000003" customHeight="1" x14ac:dyDescent="0.25">
      <c r="A32" s="6" t="s">
        <v>3667</v>
      </c>
      <c r="B32" s="7" t="s">
        <v>3668</v>
      </c>
      <c r="C32" s="8">
        <v>12</v>
      </c>
      <c r="D32" s="9">
        <v>480</v>
      </c>
      <c r="E32" s="8"/>
      <c r="F32" s="7" t="s">
        <v>3610</v>
      </c>
      <c r="G32" s="10" t="s">
        <v>3489</v>
      </c>
      <c r="H32" s="7" t="s">
        <v>3669</v>
      </c>
      <c r="I32" s="7" t="s">
        <v>3670</v>
      </c>
      <c r="J32" s="7"/>
      <c r="K32" s="7"/>
      <c r="L32" s="11"/>
    </row>
    <row r="33" spans="1:12" ht="39.950000000000003" customHeight="1" x14ac:dyDescent="0.25">
      <c r="A33" s="6"/>
      <c r="B33" s="7"/>
      <c r="C33" s="8"/>
      <c r="D33" s="9"/>
      <c r="E33" s="8"/>
      <c r="F33" s="7"/>
      <c r="G33" s="10"/>
      <c r="H33" s="7"/>
      <c r="I33" s="7"/>
      <c r="J33" s="7"/>
      <c r="K33" s="7"/>
      <c r="L33" s="11"/>
    </row>
    <row r="34" spans="1:12" ht="39.950000000000003" customHeight="1" x14ac:dyDescent="0.25">
      <c r="A34" s="6"/>
      <c r="B34" s="7"/>
      <c r="C34" s="8"/>
      <c r="D34" s="9"/>
      <c r="E34" s="8"/>
      <c r="F34" s="7"/>
      <c r="G34" s="10"/>
      <c r="H34" s="7"/>
      <c r="I34" s="7"/>
      <c r="J34" s="7"/>
      <c r="K34" s="7"/>
      <c r="L34" s="11"/>
    </row>
    <row r="35" spans="1:12" ht="39.950000000000003" customHeight="1" x14ac:dyDescent="0.25">
      <c r="A35" s="6"/>
      <c r="B35" s="7"/>
      <c r="C35" s="8"/>
      <c r="D35" s="9"/>
      <c r="E35" s="8"/>
      <c r="F35" s="7"/>
      <c r="G35" s="10"/>
      <c r="H35" s="7"/>
      <c r="I35" s="7"/>
      <c r="J35" s="7"/>
      <c r="K35" s="7"/>
      <c r="L35" s="11"/>
    </row>
    <row r="36" spans="1:12" ht="39.950000000000003" customHeight="1" x14ac:dyDescent="0.25">
      <c r="A36" s="6"/>
      <c r="B36" s="7"/>
      <c r="C36" s="8"/>
      <c r="D36" s="9"/>
      <c r="E36" s="8"/>
      <c r="F36" s="7"/>
      <c r="G36" s="10"/>
      <c r="H36" s="7"/>
      <c r="I36" s="7"/>
      <c r="J36" s="7"/>
      <c r="K36" s="7"/>
      <c r="L36" s="11"/>
    </row>
    <row r="37" spans="1:12" ht="39.950000000000003" customHeight="1" x14ac:dyDescent="0.25">
      <c r="A37" s="6"/>
      <c r="B37" s="7"/>
      <c r="C37" s="8"/>
      <c r="D37" s="9"/>
      <c r="E37" s="8"/>
      <c r="F37" s="7"/>
      <c r="G37" s="10"/>
      <c r="H37" s="7"/>
      <c r="I37" s="7"/>
      <c r="J37" s="7"/>
      <c r="K37" s="7"/>
      <c r="L37" s="11"/>
    </row>
    <row r="38" spans="1:12" ht="39.950000000000003" customHeight="1" x14ac:dyDescent="0.25">
      <c r="A38" s="6"/>
      <c r="B38" s="7"/>
      <c r="C38" s="8"/>
      <c r="D38" s="9"/>
      <c r="E38" s="8"/>
      <c r="F38" s="7"/>
      <c r="G38" s="10"/>
      <c r="H38" s="7"/>
      <c r="I38" s="7"/>
      <c r="J38" s="7"/>
      <c r="K38" s="7"/>
      <c r="L38" s="11"/>
    </row>
    <row r="39" spans="1:12" ht="39.950000000000003" customHeight="1" x14ac:dyDescent="0.25">
      <c r="A39" s="6"/>
      <c r="B39" s="7"/>
      <c r="C39" s="8"/>
      <c r="D39" s="9"/>
      <c r="E39" s="8"/>
      <c r="F39" s="7"/>
      <c r="G39" s="10"/>
      <c r="H39" s="7"/>
      <c r="I39" s="7"/>
      <c r="J39" s="7"/>
      <c r="K39" s="7"/>
      <c r="L39" s="11"/>
    </row>
    <row r="40" spans="1:12" ht="39.950000000000003" customHeight="1" x14ac:dyDescent="0.25">
      <c r="A40" s="6"/>
      <c r="B40" s="7"/>
      <c r="C40" s="8"/>
      <c r="D40" s="9"/>
      <c r="E40" s="8"/>
      <c r="F40" s="7"/>
      <c r="G40" s="10"/>
      <c r="H40" s="7"/>
      <c r="I40" s="7"/>
      <c r="J40" s="7"/>
      <c r="K40" s="7"/>
      <c r="L40" s="11"/>
    </row>
    <row r="41" spans="1:12" ht="39.950000000000003" customHeight="1" x14ac:dyDescent="0.25">
      <c r="A41" s="6"/>
      <c r="B41" s="7"/>
      <c r="C41" s="8"/>
      <c r="D41" s="9"/>
      <c r="E41" s="8"/>
      <c r="F41" s="7"/>
      <c r="G41" s="10"/>
      <c r="H41" s="7"/>
      <c r="I41" s="7"/>
      <c r="J41" s="7"/>
      <c r="K41" s="7"/>
      <c r="L41" s="11"/>
    </row>
    <row r="42" spans="1:12" ht="39.950000000000003" customHeight="1" x14ac:dyDescent="0.25">
      <c r="A42" s="6"/>
      <c r="B42" s="7"/>
      <c r="C42" s="8"/>
      <c r="D42" s="9"/>
      <c r="E42" s="8"/>
      <c r="F42" s="7"/>
      <c r="G42" s="10"/>
      <c r="H42" s="7"/>
      <c r="I42" s="7"/>
      <c r="J42" s="7"/>
      <c r="K42" s="7"/>
      <c r="L42" s="11"/>
    </row>
    <row r="43" spans="1:12" ht="39.950000000000003" customHeight="1" x14ac:dyDescent="0.25">
      <c r="A43" s="6"/>
      <c r="B43" s="7"/>
      <c r="C43" s="8"/>
      <c r="D43" s="9"/>
      <c r="E43" s="8"/>
      <c r="F43" s="7"/>
      <c r="G43" s="10"/>
      <c r="H43" s="7"/>
      <c r="I43" s="7"/>
      <c r="J43" s="7"/>
      <c r="K43" s="7"/>
      <c r="L43" s="11"/>
    </row>
    <row r="44" spans="1:12" ht="39.950000000000003" customHeight="1" x14ac:dyDescent="0.25">
      <c r="A44" s="6"/>
      <c r="B44" s="7"/>
      <c r="C44" s="8"/>
      <c r="D44" s="9"/>
      <c r="E44" s="8"/>
      <c r="F44" s="7"/>
      <c r="G44" s="10"/>
      <c r="H44" s="7"/>
      <c r="I44" s="7"/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2151</v>
      </c>
      <c r="B2" s="7" t="s">
        <v>2152</v>
      </c>
      <c r="C2" s="8">
        <v>1</v>
      </c>
      <c r="D2" s="9">
        <v>349.99</v>
      </c>
      <c r="E2" s="8" t="s">
        <v>2153</v>
      </c>
      <c r="F2" s="7" t="s">
        <v>3720</v>
      </c>
      <c r="G2" s="10"/>
      <c r="H2" s="7" t="s">
        <v>3688</v>
      </c>
      <c r="I2" s="7" t="s">
        <v>3871</v>
      </c>
      <c r="J2" s="7" t="s">
        <v>3426</v>
      </c>
      <c r="K2" s="7" t="s">
        <v>3811</v>
      </c>
      <c r="L2" s="11" t="str">
        <f>HYPERLINK("http://slimages.macys.com/is/image/MCY/14737289 ")</f>
        <v xml:space="preserve">http://slimages.macys.com/is/image/MCY/14737289 </v>
      </c>
    </row>
    <row r="3" spans="1:12" ht="39.950000000000003" customHeight="1" x14ac:dyDescent="0.25">
      <c r="A3" s="6" t="s">
        <v>2154</v>
      </c>
      <c r="B3" s="7" t="s">
        <v>2155</v>
      </c>
      <c r="C3" s="8">
        <v>2</v>
      </c>
      <c r="D3" s="9">
        <v>629.98</v>
      </c>
      <c r="E3" s="8" t="s">
        <v>2156</v>
      </c>
      <c r="F3" s="7" t="s">
        <v>3445</v>
      </c>
      <c r="G3" s="10" t="s">
        <v>3439</v>
      </c>
      <c r="H3" s="7" t="s">
        <v>3676</v>
      </c>
      <c r="I3" s="7" t="s">
        <v>3548</v>
      </c>
      <c r="J3" s="7" t="s">
        <v>3564</v>
      </c>
      <c r="K3" s="7" t="s">
        <v>3879</v>
      </c>
      <c r="L3" s="11" t="str">
        <f>HYPERLINK("http://slimages.macys.com/is/image/MCY/3974561 ")</f>
        <v xml:space="preserve">http://slimages.macys.com/is/image/MCY/3974561 </v>
      </c>
    </row>
    <row r="4" spans="1:12" ht="39.950000000000003" customHeight="1" x14ac:dyDescent="0.25">
      <c r="A4" s="6" t="s">
        <v>2157</v>
      </c>
      <c r="B4" s="7" t="s">
        <v>2158</v>
      </c>
      <c r="C4" s="8">
        <v>1</v>
      </c>
      <c r="D4" s="9">
        <v>78.11</v>
      </c>
      <c r="E4" s="8" t="s">
        <v>2159</v>
      </c>
      <c r="F4" s="7"/>
      <c r="G4" s="10"/>
      <c r="H4" s="7" t="s">
        <v>3490</v>
      </c>
      <c r="I4" s="7" t="s">
        <v>2160</v>
      </c>
      <c r="J4" s="7" t="s">
        <v>3426</v>
      </c>
      <c r="K4" s="7" t="s">
        <v>3492</v>
      </c>
      <c r="L4" s="11" t="str">
        <f>HYPERLINK("http://slimages.macys.com/is/image/MCY/13045887 ")</f>
        <v xml:space="preserve">http://slimages.macys.com/is/image/MCY/13045887 </v>
      </c>
    </row>
    <row r="5" spans="1:12" ht="39.950000000000003" customHeight="1" x14ac:dyDescent="0.25">
      <c r="A5" s="6" t="s">
        <v>2161</v>
      </c>
      <c r="B5" s="7" t="s">
        <v>2162</v>
      </c>
      <c r="C5" s="8">
        <v>1</v>
      </c>
      <c r="D5" s="9">
        <v>209.99</v>
      </c>
      <c r="E5" s="8" t="s">
        <v>2163</v>
      </c>
      <c r="F5" s="7" t="s">
        <v>3445</v>
      </c>
      <c r="G5" s="10"/>
      <c r="H5" s="7" t="s">
        <v>3478</v>
      </c>
      <c r="I5" s="7" t="s">
        <v>3553</v>
      </c>
      <c r="J5" s="7" t="s">
        <v>3426</v>
      </c>
      <c r="K5" s="7" t="s">
        <v>2164</v>
      </c>
      <c r="L5" s="11" t="str">
        <f>HYPERLINK("http://slimages.macys.com/is/image/MCY/9627924 ")</f>
        <v xml:space="preserve">http://slimages.macys.com/is/image/MCY/9627924 </v>
      </c>
    </row>
    <row r="6" spans="1:12" ht="39.950000000000003" customHeight="1" x14ac:dyDescent="0.25">
      <c r="A6" s="6" t="s">
        <v>2165</v>
      </c>
      <c r="B6" s="7" t="s">
        <v>2166</v>
      </c>
      <c r="C6" s="8">
        <v>1</v>
      </c>
      <c r="D6" s="9">
        <v>149.99</v>
      </c>
      <c r="E6" s="8" t="s">
        <v>2167</v>
      </c>
      <c r="F6" s="7" t="s">
        <v>3832</v>
      </c>
      <c r="G6" s="10"/>
      <c r="H6" s="7" t="s">
        <v>3424</v>
      </c>
      <c r="I6" s="7" t="s">
        <v>2168</v>
      </c>
      <c r="J6" s="7" t="s">
        <v>3426</v>
      </c>
      <c r="K6" s="7" t="s">
        <v>3556</v>
      </c>
      <c r="L6" s="11" t="str">
        <f>HYPERLINK("http://slimages.macys.com/is/image/MCY/13611820 ")</f>
        <v xml:space="preserve">http://slimages.macys.com/is/image/MCY/13611820 </v>
      </c>
    </row>
    <row r="7" spans="1:12" ht="39.950000000000003" customHeight="1" x14ac:dyDescent="0.25">
      <c r="A7" s="6" t="s">
        <v>2169</v>
      </c>
      <c r="B7" s="7" t="s">
        <v>2170</v>
      </c>
      <c r="C7" s="8">
        <v>1</v>
      </c>
      <c r="D7" s="9">
        <v>179.99</v>
      </c>
      <c r="E7" s="8" t="s">
        <v>2171</v>
      </c>
      <c r="F7" s="7" t="s">
        <v>3451</v>
      </c>
      <c r="G7" s="10"/>
      <c r="H7" s="7" t="s">
        <v>1517</v>
      </c>
      <c r="I7" s="7" t="s">
        <v>1518</v>
      </c>
      <c r="J7" s="7" t="s">
        <v>3426</v>
      </c>
      <c r="K7" s="7" t="s">
        <v>2172</v>
      </c>
      <c r="L7" s="11" t="str">
        <f>HYPERLINK("http://slimages.macys.com/is/image/MCY/14633361 ")</f>
        <v xml:space="preserve">http://slimages.macys.com/is/image/MCY/14633361 </v>
      </c>
    </row>
    <row r="8" spans="1:12" ht="39.950000000000003" customHeight="1" x14ac:dyDescent="0.25">
      <c r="A8" s="6" t="s">
        <v>2173</v>
      </c>
      <c r="B8" s="7" t="s">
        <v>2174</v>
      </c>
      <c r="C8" s="8">
        <v>1</v>
      </c>
      <c r="D8" s="9">
        <v>139.99</v>
      </c>
      <c r="E8" s="8" t="s">
        <v>2175</v>
      </c>
      <c r="F8" s="7" t="s">
        <v>3610</v>
      </c>
      <c r="G8" s="10" t="s">
        <v>3489</v>
      </c>
      <c r="H8" s="7" t="s">
        <v>2991</v>
      </c>
      <c r="I8" s="7" t="s">
        <v>2176</v>
      </c>
      <c r="J8" s="7" t="s">
        <v>3613</v>
      </c>
      <c r="K8" s="7" t="s">
        <v>2177</v>
      </c>
      <c r="L8" s="11" t="str">
        <f>HYPERLINK("http://images.bloomingdales.com/is/image/BLM/10599274 ")</f>
        <v xml:space="preserve">http://images.bloomingdales.com/is/image/BLM/10599274 </v>
      </c>
    </row>
    <row r="9" spans="1:12" ht="39.950000000000003" customHeight="1" x14ac:dyDescent="0.25">
      <c r="A9" s="6" t="s">
        <v>2178</v>
      </c>
      <c r="B9" s="7" t="s">
        <v>2179</v>
      </c>
      <c r="C9" s="8">
        <v>1</v>
      </c>
      <c r="D9" s="9">
        <v>95.99</v>
      </c>
      <c r="E9" s="8" t="s">
        <v>2180</v>
      </c>
      <c r="F9" s="7" t="s">
        <v>3445</v>
      </c>
      <c r="G9" s="10"/>
      <c r="H9" s="7" t="s">
        <v>3635</v>
      </c>
      <c r="I9" s="7" t="s">
        <v>2832</v>
      </c>
      <c r="J9" s="7" t="s">
        <v>3426</v>
      </c>
      <c r="K9" s="7" t="s">
        <v>2833</v>
      </c>
      <c r="L9" s="11" t="str">
        <f>HYPERLINK("http://slimages.macys.com/is/image/MCY/10753716 ")</f>
        <v xml:space="preserve">http://slimages.macys.com/is/image/MCY/10753716 </v>
      </c>
    </row>
    <row r="10" spans="1:12" ht="39.950000000000003" customHeight="1" x14ac:dyDescent="0.25">
      <c r="A10" s="6" t="s">
        <v>2181</v>
      </c>
      <c r="B10" s="7" t="s">
        <v>2182</v>
      </c>
      <c r="C10" s="8">
        <v>1</v>
      </c>
      <c r="D10" s="9">
        <v>119.99</v>
      </c>
      <c r="E10" s="8" t="s">
        <v>2183</v>
      </c>
      <c r="F10" s="7" t="s">
        <v>3451</v>
      </c>
      <c r="G10" s="10"/>
      <c r="H10" s="7" t="s">
        <v>3452</v>
      </c>
      <c r="I10" s="7" t="s">
        <v>3453</v>
      </c>
      <c r="J10" s="7" t="s">
        <v>3426</v>
      </c>
      <c r="K10" s="7"/>
      <c r="L10" s="11" t="str">
        <f>HYPERLINK("http://slimages.macys.com/is/image/MCY/15574376 ")</f>
        <v xml:space="preserve">http://slimages.macys.com/is/image/MCY/15574376 </v>
      </c>
    </row>
    <row r="11" spans="1:12" ht="39.950000000000003" customHeight="1" x14ac:dyDescent="0.25">
      <c r="A11" s="6" t="s">
        <v>2184</v>
      </c>
      <c r="B11" s="7" t="s">
        <v>2185</v>
      </c>
      <c r="C11" s="8">
        <v>1</v>
      </c>
      <c r="D11" s="9">
        <v>129.99</v>
      </c>
      <c r="E11" s="8" t="s">
        <v>2186</v>
      </c>
      <c r="F11" s="7" t="s">
        <v>3445</v>
      </c>
      <c r="G11" s="10" t="s">
        <v>3773</v>
      </c>
      <c r="H11" s="7" t="s">
        <v>3559</v>
      </c>
      <c r="I11" s="7" t="s">
        <v>4277</v>
      </c>
      <c r="J11" s="7" t="s">
        <v>3426</v>
      </c>
      <c r="K11" s="7" t="s">
        <v>2187</v>
      </c>
      <c r="L11" s="11" t="str">
        <f>HYPERLINK("http://slimages.macys.com/is/image/MCY/2155717 ")</f>
        <v xml:space="preserve">http://slimages.macys.com/is/image/MCY/2155717 </v>
      </c>
    </row>
    <row r="12" spans="1:12" ht="39.950000000000003" customHeight="1" x14ac:dyDescent="0.25">
      <c r="A12" s="6" t="s">
        <v>2188</v>
      </c>
      <c r="B12" s="7" t="s">
        <v>2189</v>
      </c>
      <c r="C12" s="8">
        <v>1</v>
      </c>
      <c r="D12" s="9">
        <v>109.99</v>
      </c>
      <c r="E12" s="8" t="s">
        <v>2190</v>
      </c>
      <c r="F12" s="7" t="s">
        <v>3431</v>
      </c>
      <c r="G12" s="10"/>
      <c r="H12" s="7" t="s">
        <v>3478</v>
      </c>
      <c r="I12" s="7" t="s">
        <v>3553</v>
      </c>
      <c r="J12" s="7" t="s">
        <v>3426</v>
      </c>
      <c r="K12" s="7" t="s">
        <v>3518</v>
      </c>
      <c r="L12" s="11" t="str">
        <f>HYPERLINK("http://slimages.macys.com/is/image/MCY/16650276 ")</f>
        <v xml:space="preserve">http://slimages.macys.com/is/image/MCY/16650276 </v>
      </c>
    </row>
    <row r="13" spans="1:12" ht="39.950000000000003" customHeight="1" x14ac:dyDescent="0.25">
      <c r="A13" s="6" t="s">
        <v>2191</v>
      </c>
      <c r="B13" s="7" t="s">
        <v>2192</v>
      </c>
      <c r="C13" s="8">
        <v>1</v>
      </c>
      <c r="D13" s="9">
        <v>109.99</v>
      </c>
      <c r="E13" s="8" t="s">
        <v>2193</v>
      </c>
      <c r="F13" s="7" t="s">
        <v>3463</v>
      </c>
      <c r="G13" s="10"/>
      <c r="H13" s="7" t="s">
        <v>3478</v>
      </c>
      <c r="I13" s="7" t="s">
        <v>3553</v>
      </c>
      <c r="J13" s="7" t="s">
        <v>3426</v>
      </c>
      <c r="K13" s="7" t="s">
        <v>3518</v>
      </c>
      <c r="L13" s="11" t="str">
        <f>HYPERLINK("http://slimages.macys.com/is/image/MCY/15602452 ")</f>
        <v xml:space="preserve">http://slimages.macys.com/is/image/MCY/15602452 </v>
      </c>
    </row>
    <row r="14" spans="1:12" ht="39.950000000000003" customHeight="1" x14ac:dyDescent="0.25">
      <c r="A14" s="6" t="s">
        <v>2194</v>
      </c>
      <c r="B14" s="7" t="s">
        <v>2195</v>
      </c>
      <c r="C14" s="8">
        <v>1</v>
      </c>
      <c r="D14" s="9">
        <v>109.99</v>
      </c>
      <c r="E14" s="8" t="s">
        <v>2196</v>
      </c>
      <c r="F14" s="7" t="s">
        <v>3720</v>
      </c>
      <c r="G14" s="10"/>
      <c r="H14" s="7" t="s">
        <v>3478</v>
      </c>
      <c r="I14" s="7" t="s">
        <v>3553</v>
      </c>
      <c r="J14" s="7"/>
      <c r="K14" s="7"/>
      <c r="L14" s="11" t="str">
        <f>HYPERLINK("http://slimages.macys.com/is/image/MCY/17911909 ")</f>
        <v xml:space="preserve">http://slimages.macys.com/is/image/MCY/17911909 </v>
      </c>
    </row>
    <row r="15" spans="1:12" ht="39.950000000000003" customHeight="1" x14ac:dyDescent="0.25">
      <c r="A15" s="6" t="s">
        <v>2197</v>
      </c>
      <c r="B15" s="7" t="s">
        <v>2198</v>
      </c>
      <c r="C15" s="8">
        <v>1</v>
      </c>
      <c r="D15" s="9">
        <v>119.99</v>
      </c>
      <c r="E15" s="8" t="s">
        <v>2199</v>
      </c>
      <c r="F15" s="7" t="s">
        <v>4304</v>
      </c>
      <c r="G15" s="10"/>
      <c r="H15" s="7" t="s">
        <v>3458</v>
      </c>
      <c r="I15" s="7" t="s">
        <v>3459</v>
      </c>
      <c r="J15" s="7" t="s">
        <v>3426</v>
      </c>
      <c r="K15" s="7" t="s">
        <v>4251</v>
      </c>
      <c r="L15" s="11" t="str">
        <f>HYPERLINK("http://slimages.macys.com/is/image/MCY/11607139 ")</f>
        <v xml:space="preserve">http://slimages.macys.com/is/image/MCY/11607139 </v>
      </c>
    </row>
    <row r="16" spans="1:12" ht="39.950000000000003" customHeight="1" x14ac:dyDescent="0.25">
      <c r="A16" s="6" t="s">
        <v>2200</v>
      </c>
      <c r="B16" s="7" t="s">
        <v>2201</v>
      </c>
      <c r="C16" s="8">
        <v>1</v>
      </c>
      <c r="D16" s="9">
        <v>99.99</v>
      </c>
      <c r="E16" s="8">
        <v>2000000052</v>
      </c>
      <c r="F16" s="7" t="s">
        <v>4015</v>
      </c>
      <c r="G16" s="10"/>
      <c r="H16" s="7" t="s">
        <v>3478</v>
      </c>
      <c r="I16" s="7" t="s">
        <v>3517</v>
      </c>
      <c r="J16" s="7"/>
      <c r="K16" s="7"/>
      <c r="L16" s="11" t="str">
        <f>HYPERLINK("http://slimages.macys.com/is/image/MCY/17862334 ")</f>
        <v xml:space="preserve">http://slimages.macys.com/is/image/MCY/17862334 </v>
      </c>
    </row>
    <row r="17" spans="1:12" ht="39.950000000000003" customHeight="1" x14ac:dyDescent="0.25">
      <c r="A17" s="6" t="s">
        <v>2202</v>
      </c>
      <c r="B17" s="7" t="s">
        <v>2203</v>
      </c>
      <c r="C17" s="8">
        <v>1</v>
      </c>
      <c r="D17" s="9">
        <v>49.99</v>
      </c>
      <c r="E17" s="8">
        <v>4403</v>
      </c>
      <c r="F17" s="7" t="s">
        <v>3445</v>
      </c>
      <c r="G17" s="10" t="s">
        <v>3439</v>
      </c>
      <c r="H17" s="7" t="s">
        <v>2471</v>
      </c>
      <c r="I17" s="7" t="s">
        <v>2575</v>
      </c>
      <c r="J17" s="7" t="s">
        <v>3426</v>
      </c>
      <c r="K17" s="7" t="s">
        <v>2204</v>
      </c>
      <c r="L17" s="11" t="str">
        <f>HYPERLINK("http://slimages.macys.com/is/image/MCY/9873929 ")</f>
        <v xml:space="preserve">http://slimages.macys.com/is/image/MCY/9873929 </v>
      </c>
    </row>
    <row r="18" spans="1:12" ht="39.950000000000003" customHeight="1" x14ac:dyDescent="0.25">
      <c r="A18" s="6" t="s">
        <v>2205</v>
      </c>
      <c r="B18" s="7" t="s">
        <v>2206</v>
      </c>
      <c r="C18" s="8">
        <v>1</v>
      </c>
      <c r="D18" s="9">
        <v>99.99</v>
      </c>
      <c r="E18" s="8" t="s">
        <v>2207</v>
      </c>
      <c r="F18" s="7" t="s">
        <v>3445</v>
      </c>
      <c r="G18" s="10"/>
      <c r="H18" s="7" t="s">
        <v>3676</v>
      </c>
      <c r="I18" s="7" t="s">
        <v>2208</v>
      </c>
      <c r="J18" s="7"/>
      <c r="K18" s="7"/>
      <c r="L18" s="11" t="str">
        <f>HYPERLINK("http://slimages.macys.com/is/image/MCY/17594680 ")</f>
        <v xml:space="preserve">http://slimages.macys.com/is/image/MCY/17594680 </v>
      </c>
    </row>
    <row r="19" spans="1:12" ht="39.950000000000003" customHeight="1" x14ac:dyDescent="0.25">
      <c r="A19" s="6" t="s">
        <v>2209</v>
      </c>
      <c r="B19" s="7" t="s">
        <v>2210</v>
      </c>
      <c r="C19" s="8">
        <v>1</v>
      </c>
      <c r="D19" s="9">
        <v>89.99</v>
      </c>
      <c r="E19" s="8" t="s">
        <v>2211</v>
      </c>
      <c r="F19" s="7" t="s">
        <v>3484</v>
      </c>
      <c r="G19" s="10"/>
      <c r="H19" s="7" t="s">
        <v>3559</v>
      </c>
      <c r="I19" s="7" t="s">
        <v>3777</v>
      </c>
      <c r="J19" s="7" t="s">
        <v>3426</v>
      </c>
      <c r="K19" s="7" t="s">
        <v>2212</v>
      </c>
      <c r="L19" s="11" t="str">
        <f>HYPERLINK("http://slimages.macys.com/is/image/MCY/15208799 ")</f>
        <v xml:space="preserve">http://slimages.macys.com/is/image/MCY/15208799 </v>
      </c>
    </row>
    <row r="20" spans="1:12" ht="39.950000000000003" customHeight="1" x14ac:dyDescent="0.25">
      <c r="A20" s="6" t="s">
        <v>2213</v>
      </c>
      <c r="B20" s="7" t="s">
        <v>2214</v>
      </c>
      <c r="C20" s="8">
        <v>1</v>
      </c>
      <c r="D20" s="9">
        <v>89.99</v>
      </c>
      <c r="E20" s="8" t="s">
        <v>2215</v>
      </c>
      <c r="F20" s="7" t="s">
        <v>4304</v>
      </c>
      <c r="G20" s="10"/>
      <c r="H20" s="7" t="s">
        <v>3452</v>
      </c>
      <c r="I20" s="7" t="s">
        <v>3834</v>
      </c>
      <c r="J20" s="7" t="s">
        <v>3426</v>
      </c>
      <c r="K20" s="7"/>
      <c r="L20" s="11" t="str">
        <f>HYPERLINK("http://slimages.macys.com/is/image/MCY/9940182 ")</f>
        <v xml:space="preserve">http://slimages.macys.com/is/image/MCY/9940182 </v>
      </c>
    </row>
    <row r="21" spans="1:12" ht="39.950000000000003" customHeight="1" x14ac:dyDescent="0.25">
      <c r="A21" s="6" t="s">
        <v>2940</v>
      </c>
      <c r="B21" s="7" t="s">
        <v>2941</v>
      </c>
      <c r="C21" s="8">
        <v>1</v>
      </c>
      <c r="D21" s="9">
        <v>79.989999999999995</v>
      </c>
      <c r="E21" s="8" t="s">
        <v>2942</v>
      </c>
      <c r="F21" s="7" t="s">
        <v>3511</v>
      </c>
      <c r="G21" s="10"/>
      <c r="H21" s="7" t="s">
        <v>3440</v>
      </c>
      <c r="I21" s="7" t="s">
        <v>4036</v>
      </c>
      <c r="J21" s="7" t="s">
        <v>3426</v>
      </c>
      <c r="K21" s="7"/>
      <c r="L21" s="11" t="str">
        <f>HYPERLINK("http://slimages.macys.com/is/image/MCY/9621146 ")</f>
        <v xml:space="preserve">http://slimages.macys.com/is/image/MCY/9621146 </v>
      </c>
    </row>
    <row r="22" spans="1:12" ht="39.950000000000003" customHeight="1" x14ac:dyDescent="0.25">
      <c r="A22" s="6" t="s">
        <v>2216</v>
      </c>
      <c r="B22" s="7" t="s">
        <v>2217</v>
      </c>
      <c r="C22" s="8">
        <v>1</v>
      </c>
      <c r="D22" s="9">
        <v>59.99</v>
      </c>
      <c r="E22" s="8">
        <v>20387238</v>
      </c>
      <c r="F22" s="7"/>
      <c r="G22" s="10"/>
      <c r="H22" s="7" t="s">
        <v>3424</v>
      </c>
      <c r="I22" s="7" t="s">
        <v>3700</v>
      </c>
      <c r="J22" s="7" t="s">
        <v>3426</v>
      </c>
      <c r="K22" s="7" t="s">
        <v>3492</v>
      </c>
      <c r="L22" s="11" t="str">
        <f>HYPERLINK("http://slimages.macys.com/is/image/MCY/14373696 ")</f>
        <v xml:space="preserve">http://slimages.macys.com/is/image/MCY/14373696 </v>
      </c>
    </row>
    <row r="23" spans="1:12" ht="39.950000000000003" customHeight="1" x14ac:dyDescent="0.25">
      <c r="A23" s="6" t="s">
        <v>2218</v>
      </c>
      <c r="B23" s="7" t="s">
        <v>2219</v>
      </c>
      <c r="C23" s="8">
        <v>1</v>
      </c>
      <c r="D23" s="9">
        <v>63.99</v>
      </c>
      <c r="E23" s="8">
        <v>82932</v>
      </c>
      <c r="F23" s="7" t="s">
        <v>3804</v>
      </c>
      <c r="G23" s="10"/>
      <c r="H23" s="7" t="s">
        <v>3478</v>
      </c>
      <c r="I23" s="7" t="s">
        <v>3479</v>
      </c>
      <c r="J23" s="7"/>
      <c r="K23" s="7"/>
      <c r="L23" s="11" t="str">
        <f>HYPERLINK("http://slimages.macys.com/is/image/MCY/17774796 ")</f>
        <v xml:space="preserve">http://slimages.macys.com/is/image/MCY/17774796 </v>
      </c>
    </row>
    <row r="24" spans="1:12" ht="39.950000000000003" customHeight="1" x14ac:dyDescent="0.25">
      <c r="A24" s="6" t="s">
        <v>2220</v>
      </c>
      <c r="B24" s="7" t="s">
        <v>2221</v>
      </c>
      <c r="C24" s="8">
        <v>2</v>
      </c>
      <c r="D24" s="9">
        <v>147.97999999999999</v>
      </c>
      <c r="E24" s="8" t="s">
        <v>2222</v>
      </c>
      <c r="F24" s="7" t="s">
        <v>3720</v>
      </c>
      <c r="G24" s="10" t="s">
        <v>4156</v>
      </c>
      <c r="H24" s="7" t="s">
        <v>3490</v>
      </c>
      <c r="I24" s="7" t="s">
        <v>3810</v>
      </c>
      <c r="J24" s="7" t="s">
        <v>3601</v>
      </c>
      <c r="K24" s="7" t="s">
        <v>2223</v>
      </c>
      <c r="L24" s="11" t="str">
        <f>HYPERLINK("http://slimages.macys.com/is/image/MCY/12306002 ")</f>
        <v xml:space="preserve">http://slimages.macys.com/is/image/MCY/12306002 </v>
      </c>
    </row>
    <row r="25" spans="1:12" ht="39.950000000000003" customHeight="1" x14ac:dyDescent="0.25">
      <c r="A25" s="6" t="s">
        <v>2224</v>
      </c>
      <c r="B25" s="7" t="s">
        <v>2225</v>
      </c>
      <c r="C25" s="8">
        <v>1</v>
      </c>
      <c r="D25" s="9">
        <v>69.989999999999995</v>
      </c>
      <c r="E25" s="8" t="s">
        <v>2226</v>
      </c>
      <c r="F25" s="7" t="s">
        <v>3463</v>
      </c>
      <c r="G25" s="10"/>
      <c r="H25" s="7" t="s">
        <v>3490</v>
      </c>
      <c r="I25" s="7" t="s">
        <v>4411</v>
      </c>
      <c r="J25" s="7"/>
      <c r="K25" s="7"/>
      <c r="L25" s="11" t="str">
        <f>HYPERLINK("http://slimages.macys.com/is/image/MCY/18112100 ")</f>
        <v xml:space="preserve">http://slimages.macys.com/is/image/MCY/18112100 </v>
      </c>
    </row>
    <row r="26" spans="1:12" ht="39.950000000000003" customHeight="1" x14ac:dyDescent="0.25">
      <c r="A26" s="6" t="s">
        <v>2227</v>
      </c>
      <c r="B26" s="7" t="s">
        <v>2228</v>
      </c>
      <c r="C26" s="8">
        <v>1</v>
      </c>
      <c r="D26" s="9">
        <v>59.99</v>
      </c>
      <c r="E26" s="8" t="s">
        <v>2229</v>
      </c>
      <c r="F26" s="7" t="s">
        <v>3431</v>
      </c>
      <c r="G26" s="10"/>
      <c r="H26" s="7" t="s">
        <v>3432</v>
      </c>
      <c r="I26" s="7" t="s">
        <v>4277</v>
      </c>
      <c r="J26" s="7" t="s">
        <v>3426</v>
      </c>
      <c r="K26" s="7" t="s">
        <v>3518</v>
      </c>
      <c r="L26" s="11" t="str">
        <f>HYPERLINK("http://slimages.macys.com/is/image/MCY/3819330 ")</f>
        <v xml:space="preserve">http://slimages.macys.com/is/image/MCY/3819330 </v>
      </c>
    </row>
    <row r="27" spans="1:12" ht="39.950000000000003" customHeight="1" x14ac:dyDescent="0.25">
      <c r="A27" s="6" t="s">
        <v>2230</v>
      </c>
      <c r="B27" s="7" t="s">
        <v>2231</v>
      </c>
      <c r="C27" s="8">
        <v>1</v>
      </c>
      <c r="D27" s="9">
        <v>64.989999999999995</v>
      </c>
      <c r="E27" s="8">
        <v>100071429</v>
      </c>
      <c r="F27" s="7" t="s">
        <v>3511</v>
      </c>
      <c r="G27" s="10" t="s">
        <v>3512</v>
      </c>
      <c r="H27" s="7" t="s">
        <v>3513</v>
      </c>
      <c r="I27" s="7" t="s">
        <v>4318</v>
      </c>
      <c r="J27" s="7" t="s">
        <v>3426</v>
      </c>
      <c r="K27" s="7" t="s">
        <v>4319</v>
      </c>
      <c r="L27" s="11" t="str">
        <f>HYPERLINK("http://slimages.macys.com/is/image/MCY/14337696 ")</f>
        <v xml:space="preserve">http://slimages.macys.com/is/image/MCY/14337696 </v>
      </c>
    </row>
    <row r="28" spans="1:12" ht="39.950000000000003" customHeight="1" x14ac:dyDescent="0.25">
      <c r="A28" s="6" t="s">
        <v>2232</v>
      </c>
      <c r="B28" s="7" t="s">
        <v>2233</v>
      </c>
      <c r="C28" s="8">
        <v>1</v>
      </c>
      <c r="D28" s="9">
        <v>54.99</v>
      </c>
      <c r="E28" s="8" t="s">
        <v>2234</v>
      </c>
      <c r="F28" s="7" t="s">
        <v>4047</v>
      </c>
      <c r="G28" s="10" t="s">
        <v>4156</v>
      </c>
      <c r="H28" s="7" t="s">
        <v>3688</v>
      </c>
      <c r="I28" s="7" t="s">
        <v>3871</v>
      </c>
      <c r="J28" s="7"/>
      <c r="K28" s="7"/>
      <c r="L28" s="11" t="str">
        <f>HYPERLINK("http://slimages.macys.com/is/image/MCY/17659600 ")</f>
        <v xml:space="preserve">http://slimages.macys.com/is/image/MCY/17659600 </v>
      </c>
    </row>
    <row r="29" spans="1:12" ht="39.950000000000003" customHeight="1" x14ac:dyDescent="0.25">
      <c r="A29" s="6" t="s">
        <v>2235</v>
      </c>
      <c r="B29" s="7" t="s">
        <v>2236</v>
      </c>
      <c r="C29" s="8">
        <v>1</v>
      </c>
      <c r="D29" s="9">
        <v>74.989999999999995</v>
      </c>
      <c r="E29" s="8" t="s">
        <v>2237</v>
      </c>
      <c r="F29" s="7" t="s">
        <v>3445</v>
      </c>
      <c r="G29" s="10" t="s">
        <v>3547</v>
      </c>
      <c r="H29" s="7" t="s">
        <v>3525</v>
      </c>
      <c r="I29" s="7" t="s">
        <v>3526</v>
      </c>
      <c r="J29" s="7" t="s">
        <v>3564</v>
      </c>
      <c r="K29" s="7" t="s">
        <v>2684</v>
      </c>
      <c r="L29" s="11" t="str">
        <f>HYPERLINK("http://slimages.macys.com/is/image/MCY/13368404 ")</f>
        <v xml:space="preserve">http://slimages.macys.com/is/image/MCY/13368404 </v>
      </c>
    </row>
    <row r="30" spans="1:12" ht="39.950000000000003" customHeight="1" x14ac:dyDescent="0.25">
      <c r="A30" s="6" t="s">
        <v>4327</v>
      </c>
      <c r="B30" s="7" t="s">
        <v>4328</v>
      </c>
      <c r="C30" s="8">
        <v>1</v>
      </c>
      <c r="D30" s="9">
        <v>49.99</v>
      </c>
      <c r="E30" s="8" t="s">
        <v>4329</v>
      </c>
      <c r="F30" s="7" t="s">
        <v>3445</v>
      </c>
      <c r="G30" s="10"/>
      <c r="H30" s="7" t="s">
        <v>3478</v>
      </c>
      <c r="I30" s="7" t="s">
        <v>3517</v>
      </c>
      <c r="J30" s="7" t="s">
        <v>3426</v>
      </c>
      <c r="K30" s="7" t="s">
        <v>3592</v>
      </c>
      <c r="L30" s="11" t="str">
        <f>HYPERLINK("http://slimages.macys.com/is/image/MCY/9330026 ")</f>
        <v xml:space="preserve">http://slimages.macys.com/is/image/MCY/9330026 </v>
      </c>
    </row>
    <row r="31" spans="1:12" ht="39.950000000000003" customHeight="1" x14ac:dyDescent="0.25">
      <c r="A31" s="6" t="s">
        <v>2238</v>
      </c>
      <c r="B31" s="7" t="s">
        <v>2239</v>
      </c>
      <c r="C31" s="8">
        <v>1</v>
      </c>
      <c r="D31" s="9">
        <v>59.99</v>
      </c>
      <c r="E31" s="8" t="s">
        <v>2240</v>
      </c>
      <c r="F31" s="7" t="s">
        <v>3445</v>
      </c>
      <c r="G31" s="10" t="s">
        <v>2503</v>
      </c>
      <c r="H31" s="7" t="s">
        <v>3559</v>
      </c>
      <c r="I31" s="7" t="s">
        <v>3777</v>
      </c>
      <c r="J31" s="7" t="s">
        <v>3426</v>
      </c>
      <c r="K31" s="7" t="s">
        <v>2241</v>
      </c>
      <c r="L31" s="11" t="str">
        <f>HYPERLINK("http://slimages.macys.com/is/image/MCY/16453676 ")</f>
        <v xml:space="preserve">http://slimages.macys.com/is/image/MCY/16453676 </v>
      </c>
    </row>
    <row r="32" spans="1:12" ht="39.950000000000003" customHeight="1" x14ac:dyDescent="0.25">
      <c r="A32" s="6" t="s">
        <v>2242</v>
      </c>
      <c r="B32" s="7" t="s">
        <v>2243</v>
      </c>
      <c r="C32" s="8">
        <v>1</v>
      </c>
      <c r="D32" s="9">
        <v>39.99</v>
      </c>
      <c r="E32" s="8" t="s">
        <v>2244</v>
      </c>
      <c r="F32" s="7" t="s">
        <v>3535</v>
      </c>
      <c r="G32" s="10" t="s">
        <v>2245</v>
      </c>
      <c r="H32" s="7" t="s">
        <v>3490</v>
      </c>
      <c r="I32" s="7" t="s">
        <v>3805</v>
      </c>
      <c r="J32" s="7"/>
      <c r="K32" s="7"/>
      <c r="L32" s="11" t="str">
        <f>HYPERLINK("http://slimages.macys.com/is/image/MCY/17805065 ")</f>
        <v xml:space="preserve">http://slimages.macys.com/is/image/MCY/17805065 </v>
      </c>
    </row>
    <row r="33" spans="1:12" ht="39.950000000000003" customHeight="1" x14ac:dyDescent="0.25">
      <c r="A33" s="6" t="s">
        <v>2246</v>
      </c>
      <c r="B33" s="7" t="s">
        <v>2247</v>
      </c>
      <c r="C33" s="8">
        <v>1</v>
      </c>
      <c r="D33" s="9">
        <v>49.99</v>
      </c>
      <c r="E33" s="8" t="s">
        <v>2248</v>
      </c>
      <c r="F33" s="7" t="s">
        <v>3445</v>
      </c>
      <c r="G33" s="10" t="s">
        <v>3617</v>
      </c>
      <c r="H33" s="7" t="s">
        <v>3559</v>
      </c>
      <c r="I33" s="7" t="s">
        <v>4277</v>
      </c>
      <c r="J33" s="7" t="s">
        <v>3426</v>
      </c>
      <c r="K33" s="7" t="s">
        <v>2249</v>
      </c>
      <c r="L33" s="11" t="str">
        <f>HYPERLINK("http://slimages.macys.com/is/image/MCY/8117212 ")</f>
        <v xml:space="preserve">http://slimages.macys.com/is/image/MCY/8117212 </v>
      </c>
    </row>
    <row r="34" spans="1:12" ht="39.950000000000003" customHeight="1" x14ac:dyDescent="0.25">
      <c r="A34" s="6" t="s">
        <v>2250</v>
      </c>
      <c r="B34" s="7" t="s">
        <v>2251</v>
      </c>
      <c r="C34" s="8">
        <v>1</v>
      </c>
      <c r="D34" s="9">
        <v>49.99</v>
      </c>
      <c r="E34" s="8">
        <v>22246022</v>
      </c>
      <c r="F34" s="7" t="s">
        <v>3463</v>
      </c>
      <c r="G34" s="10"/>
      <c r="H34" s="7" t="s">
        <v>3478</v>
      </c>
      <c r="I34" s="7" t="s">
        <v>3517</v>
      </c>
      <c r="J34" s="7" t="s">
        <v>3426</v>
      </c>
      <c r="K34" s="7" t="s">
        <v>3518</v>
      </c>
      <c r="L34" s="11" t="str">
        <f>HYPERLINK("http://slimages.macys.com/is/image/MCY/16687310 ")</f>
        <v xml:space="preserve">http://slimages.macys.com/is/image/MCY/16687310 </v>
      </c>
    </row>
    <row r="35" spans="1:12" ht="39.950000000000003" customHeight="1" x14ac:dyDescent="0.25">
      <c r="A35" s="6" t="s">
        <v>2813</v>
      </c>
      <c r="B35" s="7" t="s">
        <v>2814</v>
      </c>
      <c r="C35" s="8">
        <v>1</v>
      </c>
      <c r="D35" s="9">
        <v>79.989999999999995</v>
      </c>
      <c r="E35" s="8" t="s">
        <v>2815</v>
      </c>
      <c r="F35" s="7" t="s">
        <v>3477</v>
      </c>
      <c r="G35" s="10"/>
      <c r="H35" s="7" t="s">
        <v>3525</v>
      </c>
      <c r="I35" s="7" t="s">
        <v>3704</v>
      </c>
      <c r="J35" s="7" t="s">
        <v>3426</v>
      </c>
      <c r="K35" s="7" t="s">
        <v>3959</v>
      </c>
      <c r="L35" s="11" t="str">
        <f>HYPERLINK("http://slimages.macys.com/is/image/MCY/13121400 ")</f>
        <v xml:space="preserve">http://slimages.macys.com/is/image/MCY/13121400 </v>
      </c>
    </row>
    <row r="36" spans="1:12" ht="39.950000000000003" customHeight="1" x14ac:dyDescent="0.25">
      <c r="A36" s="6" t="s">
        <v>2252</v>
      </c>
      <c r="B36" s="7" t="s">
        <v>2253</v>
      </c>
      <c r="C36" s="8">
        <v>1</v>
      </c>
      <c r="D36" s="9">
        <v>120</v>
      </c>
      <c r="E36" s="8" t="s">
        <v>2254</v>
      </c>
      <c r="F36" s="7" t="s">
        <v>3445</v>
      </c>
      <c r="G36" s="10" t="s">
        <v>3547</v>
      </c>
      <c r="H36" s="7" t="s">
        <v>3525</v>
      </c>
      <c r="I36" s="7" t="s">
        <v>1806</v>
      </c>
      <c r="J36" s="7" t="s">
        <v>3564</v>
      </c>
      <c r="K36" s="7" t="s">
        <v>1870</v>
      </c>
      <c r="L36" s="11" t="str">
        <f>HYPERLINK("http://images.bloomingdales.com/is/image/BLM/9688507 ")</f>
        <v xml:space="preserve">http://images.bloomingdales.com/is/image/BLM/9688507 </v>
      </c>
    </row>
    <row r="37" spans="1:12" ht="39.950000000000003" customHeight="1" x14ac:dyDescent="0.25">
      <c r="A37" s="6" t="s">
        <v>2255</v>
      </c>
      <c r="B37" s="7" t="s">
        <v>2256</v>
      </c>
      <c r="C37" s="8">
        <v>1</v>
      </c>
      <c r="D37" s="9">
        <v>59.99</v>
      </c>
      <c r="E37" s="8">
        <v>10004897500</v>
      </c>
      <c r="F37" s="7" t="s">
        <v>3463</v>
      </c>
      <c r="G37" s="10"/>
      <c r="H37" s="7" t="s">
        <v>3572</v>
      </c>
      <c r="I37" s="7" t="s">
        <v>3897</v>
      </c>
      <c r="J37" s="7" t="s">
        <v>3426</v>
      </c>
      <c r="K37" s="7"/>
      <c r="L37" s="11" t="str">
        <f>HYPERLINK("http://slimages.macys.com/is/image/MCY/14823286 ")</f>
        <v xml:space="preserve">http://slimages.macys.com/is/image/MCY/14823286 </v>
      </c>
    </row>
    <row r="38" spans="1:12" ht="39.950000000000003" customHeight="1" x14ac:dyDescent="0.25">
      <c r="A38" s="6" t="s">
        <v>2257</v>
      </c>
      <c r="B38" s="7" t="s">
        <v>2258</v>
      </c>
      <c r="C38" s="8">
        <v>1</v>
      </c>
      <c r="D38" s="9">
        <v>29.99</v>
      </c>
      <c r="E38" s="8" t="s">
        <v>2259</v>
      </c>
      <c r="F38" s="7" t="s">
        <v>3431</v>
      </c>
      <c r="G38" s="10"/>
      <c r="H38" s="7" t="s">
        <v>3490</v>
      </c>
      <c r="I38" s="7" t="s">
        <v>3859</v>
      </c>
      <c r="J38" s="7"/>
      <c r="K38" s="7"/>
      <c r="L38" s="11" t="str">
        <f>HYPERLINK("http://slimages.macys.com/is/image/MCY/16808381 ")</f>
        <v xml:space="preserve">http://slimages.macys.com/is/image/MCY/16808381 </v>
      </c>
    </row>
    <row r="39" spans="1:12" ht="39.950000000000003" customHeight="1" x14ac:dyDescent="0.25">
      <c r="A39" s="6" t="s">
        <v>2260</v>
      </c>
      <c r="B39" s="7" t="s">
        <v>2261</v>
      </c>
      <c r="C39" s="8">
        <v>1</v>
      </c>
      <c r="D39" s="9">
        <v>48.99</v>
      </c>
      <c r="E39" s="8" t="s">
        <v>2262</v>
      </c>
      <c r="F39" s="7"/>
      <c r="G39" s="10"/>
      <c r="H39" s="7" t="s">
        <v>3478</v>
      </c>
      <c r="I39" s="7" t="s">
        <v>4113</v>
      </c>
      <c r="J39" s="7" t="s">
        <v>3426</v>
      </c>
      <c r="K39" s="7" t="s">
        <v>3816</v>
      </c>
      <c r="L39" s="11" t="str">
        <f>HYPERLINK("http://slimages.macys.com/is/image/MCY/10974209 ")</f>
        <v xml:space="preserve">http://slimages.macys.com/is/image/MCY/10974209 </v>
      </c>
    </row>
    <row r="40" spans="1:12" ht="39.950000000000003" customHeight="1" x14ac:dyDescent="0.25">
      <c r="A40" s="6" t="s">
        <v>2263</v>
      </c>
      <c r="B40" s="7" t="s">
        <v>2264</v>
      </c>
      <c r="C40" s="8">
        <v>2</v>
      </c>
      <c r="D40" s="9">
        <v>69.98</v>
      </c>
      <c r="E40" s="8">
        <v>100109480</v>
      </c>
      <c r="F40" s="7" t="s">
        <v>3674</v>
      </c>
      <c r="G40" s="10"/>
      <c r="H40" s="7" t="s">
        <v>3467</v>
      </c>
      <c r="I40" s="7" t="s">
        <v>2922</v>
      </c>
      <c r="J40" s="7"/>
      <c r="K40" s="7"/>
      <c r="L40" s="11" t="str">
        <f>HYPERLINK("http://slimages.macys.com/is/image/MCY/17662141 ")</f>
        <v xml:space="preserve">http://slimages.macys.com/is/image/MCY/17662141 </v>
      </c>
    </row>
    <row r="41" spans="1:12" ht="39.950000000000003" customHeight="1" x14ac:dyDescent="0.25">
      <c r="A41" s="6" t="s">
        <v>2265</v>
      </c>
      <c r="B41" s="7" t="s">
        <v>2266</v>
      </c>
      <c r="C41" s="8">
        <v>1</v>
      </c>
      <c r="D41" s="9">
        <v>25.99</v>
      </c>
      <c r="E41" s="8" t="s">
        <v>2267</v>
      </c>
      <c r="F41" s="7" t="s">
        <v>3445</v>
      </c>
      <c r="G41" s="10"/>
      <c r="H41" s="7" t="s">
        <v>3542</v>
      </c>
      <c r="I41" s="7" t="s">
        <v>2268</v>
      </c>
      <c r="J41" s="7" t="s">
        <v>3426</v>
      </c>
      <c r="K41" s="7" t="s">
        <v>3518</v>
      </c>
      <c r="L41" s="11" t="str">
        <f>HYPERLINK("http://slimages.macys.com/is/image/MCY/11779265 ")</f>
        <v xml:space="preserve">http://slimages.macys.com/is/image/MCY/11779265 </v>
      </c>
    </row>
    <row r="42" spans="1:12" ht="39.950000000000003" customHeight="1" x14ac:dyDescent="0.25">
      <c r="A42" s="6" t="s">
        <v>3288</v>
      </c>
      <c r="B42" s="7" t="s">
        <v>3289</v>
      </c>
      <c r="C42" s="8">
        <v>1</v>
      </c>
      <c r="D42" s="9">
        <v>29.93</v>
      </c>
      <c r="E42" s="8" t="s">
        <v>3290</v>
      </c>
      <c r="F42" s="7" t="s">
        <v>3445</v>
      </c>
      <c r="G42" s="10"/>
      <c r="H42" s="7" t="s">
        <v>3525</v>
      </c>
      <c r="I42" s="7" t="s">
        <v>3704</v>
      </c>
      <c r="J42" s="7" t="s">
        <v>3426</v>
      </c>
      <c r="K42" s="7"/>
      <c r="L42" s="11" t="str">
        <f>HYPERLINK("http://slimages.macys.com/is/image/MCY/15780870 ")</f>
        <v xml:space="preserve">http://slimages.macys.com/is/image/MCY/15780870 </v>
      </c>
    </row>
    <row r="43" spans="1:12" ht="39.950000000000003" customHeight="1" x14ac:dyDescent="0.25">
      <c r="A43" s="6" t="s">
        <v>2539</v>
      </c>
      <c r="B43" s="7" t="s">
        <v>2540</v>
      </c>
      <c r="C43" s="8">
        <v>1</v>
      </c>
      <c r="D43" s="9">
        <v>29.99</v>
      </c>
      <c r="E43" s="8" t="s">
        <v>2541</v>
      </c>
      <c r="F43" s="7" t="s">
        <v>3755</v>
      </c>
      <c r="G43" s="10"/>
      <c r="H43" s="7" t="s">
        <v>3478</v>
      </c>
      <c r="I43" s="7" t="s">
        <v>3815</v>
      </c>
      <c r="J43" s="7" t="s">
        <v>3426</v>
      </c>
      <c r="K43" s="7" t="s">
        <v>3518</v>
      </c>
      <c r="L43" s="11" t="str">
        <f>HYPERLINK("http://slimages.macys.com/is/image/MCY/10652381 ")</f>
        <v xml:space="preserve">http://slimages.macys.com/is/image/MCY/10652381 </v>
      </c>
    </row>
    <row r="44" spans="1:12" ht="39.950000000000003" customHeight="1" x14ac:dyDescent="0.25">
      <c r="A44" s="6" t="s">
        <v>2269</v>
      </c>
      <c r="B44" s="7" t="s">
        <v>2270</v>
      </c>
      <c r="C44" s="8">
        <v>1</v>
      </c>
      <c r="D44" s="9">
        <v>29.99</v>
      </c>
      <c r="E44" s="8" t="s">
        <v>2271</v>
      </c>
      <c r="F44" s="7" t="s">
        <v>3445</v>
      </c>
      <c r="G44" s="10"/>
      <c r="H44" s="7" t="s">
        <v>3490</v>
      </c>
      <c r="I44" s="7" t="s">
        <v>3805</v>
      </c>
      <c r="J44" s="7"/>
      <c r="K44" s="7"/>
      <c r="L44" s="11" t="str">
        <f>HYPERLINK("http://slimages.macys.com/is/image/MCY/18173365 ")</f>
        <v xml:space="preserve">http://slimages.macys.com/is/image/MCY/18173365 </v>
      </c>
    </row>
    <row r="45" spans="1:12" ht="39.950000000000003" customHeight="1" x14ac:dyDescent="0.25">
      <c r="A45" s="6" t="s">
        <v>2272</v>
      </c>
      <c r="B45" s="7" t="s">
        <v>2273</v>
      </c>
      <c r="C45" s="8">
        <v>1</v>
      </c>
      <c r="D45" s="9">
        <v>24.99</v>
      </c>
      <c r="E45" s="8" t="s">
        <v>2274</v>
      </c>
      <c r="F45" s="7"/>
      <c r="G45" s="10" t="s">
        <v>3512</v>
      </c>
      <c r="H45" s="7" t="s">
        <v>3490</v>
      </c>
      <c r="I45" s="7" t="s">
        <v>2275</v>
      </c>
      <c r="J45" s="7"/>
      <c r="K45" s="7"/>
      <c r="L45" s="11" t="str">
        <f>HYPERLINK("http://slimages.macys.com/is/image/MCY/18060296 ")</f>
        <v xml:space="preserve">http://slimages.macys.com/is/image/MCY/18060296 </v>
      </c>
    </row>
    <row r="46" spans="1:12" ht="39.950000000000003" customHeight="1" x14ac:dyDescent="0.25">
      <c r="A46" s="6" t="s">
        <v>2276</v>
      </c>
      <c r="B46" s="7" t="s">
        <v>2277</v>
      </c>
      <c r="C46" s="8">
        <v>1</v>
      </c>
      <c r="D46" s="9">
        <v>24.99</v>
      </c>
      <c r="E46" s="8">
        <v>100088905</v>
      </c>
      <c r="F46" s="7" t="s">
        <v>2278</v>
      </c>
      <c r="G46" s="10" t="s">
        <v>3512</v>
      </c>
      <c r="H46" s="7" t="s">
        <v>3467</v>
      </c>
      <c r="I46" s="7" t="s">
        <v>2019</v>
      </c>
      <c r="J46" s="7" t="s">
        <v>3426</v>
      </c>
      <c r="K46" s="7" t="s">
        <v>3811</v>
      </c>
      <c r="L46" s="11" t="str">
        <f>HYPERLINK("http://slimages.macys.com/is/image/MCY/16472280 ")</f>
        <v xml:space="preserve">http://slimages.macys.com/is/image/MCY/16472280 </v>
      </c>
    </row>
    <row r="47" spans="1:12" ht="39.950000000000003" customHeight="1" x14ac:dyDescent="0.25">
      <c r="A47" s="6" t="s">
        <v>2279</v>
      </c>
      <c r="B47" s="7" t="s">
        <v>2280</v>
      </c>
      <c r="C47" s="8">
        <v>1</v>
      </c>
      <c r="D47" s="9">
        <v>14.99</v>
      </c>
      <c r="E47" s="8">
        <v>1003699100</v>
      </c>
      <c r="F47" s="7" t="s">
        <v>4304</v>
      </c>
      <c r="G47" s="10" t="s">
        <v>3653</v>
      </c>
      <c r="H47" s="7" t="s">
        <v>3654</v>
      </c>
      <c r="I47" s="7" t="s">
        <v>3724</v>
      </c>
      <c r="J47" s="7" t="s">
        <v>3426</v>
      </c>
      <c r="K47" s="7" t="s">
        <v>3835</v>
      </c>
      <c r="L47" s="11" t="str">
        <f>HYPERLINK("http://slimages.macys.com/is/image/MCY/11340028 ")</f>
        <v xml:space="preserve">http://slimages.macys.com/is/image/MCY/11340028 </v>
      </c>
    </row>
    <row r="48" spans="1:12" ht="39.950000000000003" customHeight="1" x14ac:dyDescent="0.25">
      <c r="A48" s="6" t="s">
        <v>2281</v>
      </c>
      <c r="B48" s="7" t="s">
        <v>2282</v>
      </c>
      <c r="C48" s="8">
        <v>1</v>
      </c>
      <c r="D48" s="9">
        <v>22.99</v>
      </c>
      <c r="E48" s="8" t="s">
        <v>2283</v>
      </c>
      <c r="F48" s="7" t="s">
        <v>3445</v>
      </c>
      <c r="G48" s="10" t="s">
        <v>3489</v>
      </c>
      <c r="H48" s="7" t="s">
        <v>3559</v>
      </c>
      <c r="I48" s="7" t="s">
        <v>3304</v>
      </c>
      <c r="J48" s="7" t="s">
        <v>3549</v>
      </c>
      <c r="K48" s="7" t="s">
        <v>1488</v>
      </c>
      <c r="L48" s="11" t="str">
        <f>HYPERLINK("http://slimages.macys.com/is/image/MCY/16541170 ")</f>
        <v xml:space="preserve">http://slimages.macys.com/is/image/MCY/16541170 </v>
      </c>
    </row>
    <row r="49" spans="1:12" ht="39.950000000000003" customHeight="1" x14ac:dyDescent="0.25">
      <c r="A49" s="6" t="s">
        <v>2284</v>
      </c>
      <c r="B49" s="7" t="s">
        <v>2285</v>
      </c>
      <c r="C49" s="8">
        <v>1</v>
      </c>
      <c r="D49" s="9">
        <v>13.99</v>
      </c>
      <c r="E49" s="8" t="s">
        <v>2286</v>
      </c>
      <c r="F49" s="7" t="s">
        <v>3445</v>
      </c>
      <c r="G49" s="10"/>
      <c r="H49" s="7" t="s">
        <v>3525</v>
      </c>
      <c r="I49" s="7" t="s">
        <v>3548</v>
      </c>
      <c r="J49" s="7"/>
      <c r="K49" s="7"/>
      <c r="L49" s="11" t="str">
        <f>HYPERLINK("http://slimages.macys.com/is/image/MCY/17332470 ")</f>
        <v xml:space="preserve">http://slimages.macys.com/is/image/MCY/17332470 </v>
      </c>
    </row>
    <row r="50" spans="1:12" ht="39.950000000000003" customHeight="1" x14ac:dyDescent="0.25">
      <c r="A50" s="6" t="s">
        <v>2287</v>
      </c>
      <c r="B50" s="7" t="s">
        <v>2288</v>
      </c>
      <c r="C50" s="8">
        <v>1</v>
      </c>
      <c r="D50" s="9">
        <v>8.99</v>
      </c>
      <c r="E50" s="8" t="s">
        <v>2289</v>
      </c>
      <c r="F50" s="7" t="s">
        <v>3445</v>
      </c>
      <c r="G50" s="10" t="s">
        <v>3851</v>
      </c>
      <c r="H50" s="7" t="s">
        <v>3559</v>
      </c>
      <c r="I50" s="7" t="s">
        <v>3852</v>
      </c>
      <c r="J50" s="7"/>
      <c r="K50" s="7"/>
      <c r="L50" s="11" t="str">
        <f>HYPERLINK("http://slimages.macys.com/is/image/MCY/17765417 ")</f>
        <v xml:space="preserve">http://slimages.macys.com/is/image/MCY/17765417 </v>
      </c>
    </row>
    <row r="51" spans="1:12" ht="39.950000000000003" customHeight="1" x14ac:dyDescent="0.25">
      <c r="A51" s="6" t="s">
        <v>3667</v>
      </c>
      <c r="B51" s="7" t="s">
        <v>3668</v>
      </c>
      <c r="C51" s="8">
        <v>3</v>
      </c>
      <c r="D51" s="9">
        <v>120</v>
      </c>
      <c r="E51" s="8"/>
      <c r="F51" s="7" t="s">
        <v>3610</v>
      </c>
      <c r="G51" s="10" t="s">
        <v>3489</v>
      </c>
      <c r="H51" s="7" t="s">
        <v>3669</v>
      </c>
      <c r="I51" s="7" t="s">
        <v>3670</v>
      </c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3420</v>
      </c>
      <c r="B2" s="7" t="s">
        <v>3421</v>
      </c>
      <c r="C2" s="8">
        <v>1</v>
      </c>
      <c r="D2" s="9">
        <v>179.99</v>
      </c>
      <c r="E2" s="8" t="s">
        <v>3422</v>
      </c>
      <c r="F2" s="7" t="s">
        <v>3423</v>
      </c>
      <c r="G2" s="10"/>
      <c r="H2" s="7" t="s">
        <v>3424</v>
      </c>
      <c r="I2" s="7" t="s">
        <v>3425</v>
      </c>
      <c r="J2" s="7" t="s">
        <v>3426</v>
      </c>
      <c r="K2" s="7" t="s">
        <v>3427</v>
      </c>
      <c r="L2" s="11" t="str">
        <f>HYPERLINK("http://slimages.macys.com/is/image/MCY/14635331 ")</f>
        <v xml:space="preserve">http://slimages.macys.com/is/image/MCY/14635331 </v>
      </c>
    </row>
    <row r="3" spans="1:12" ht="39.950000000000003" customHeight="1" x14ac:dyDescent="0.25">
      <c r="A3" s="6" t="s">
        <v>3428</v>
      </c>
      <c r="B3" s="7" t="s">
        <v>3429</v>
      </c>
      <c r="C3" s="8">
        <v>1</v>
      </c>
      <c r="D3" s="9">
        <v>225.99</v>
      </c>
      <c r="E3" s="8" t="s">
        <v>3430</v>
      </c>
      <c r="F3" s="7" t="s">
        <v>3431</v>
      </c>
      <c r="G3" s="10"/>
      <c r="H3" s="7" t="s">
        <v>3432</v>
      </c>
      <c r="I3" s="7" t="s">
        <v>3433</v>
      </c>
      <c r="J3" s="7" t="s">
        <v>3426</v>
      </c>
      <c r="K3" s="7" t="s">
        <v>3434</v>
      </c>
      <c r="L3" s="11" t="str">
        <f>HYPERLINK("http://slimages.macys.com/is/image/MCY/15119022 ")</f>
        <v xml:space="preserve">http://slimages.macys.com/is/image/MCY/15119022 </v>
      </c>
    </row>
    <row r="4" spans="1:12" ht="39.950000000000003" customHeight="1" x14ac:dyDescent="0.25">
      <c r="A4" s="6" t="s">
        <v>3435</v>
      </c>
      <c r="B4" s="7" t="s">
        <v>3436</v>
      </c>
      <c r="C4" s="8">
        <v>1</v>
      </c>
      <c r="D4" s="9">
        <v>249.99</v>
      </c>
      <c r="E4" s="8" t="s">
        <v>3437</v>
      </c>
      <c r="F4" s="7" t="s">
        <v>3438</v>
      </c>
      <c r="G4" s="10" t="s">
        <v>3439</v>
      </c>
      <c r="H4" s="7" t="s">
        <v>3440</v>
      </c>
      <c r="I4" s="7" t="s">
        <v>3441</v>
      </c>
      <c r="J4" s="7"/>
      <c r="K4" s="7"/>
      <c r="L4" s="11" t="str">
        <f>HYPERLINK("http://slimages.macys.com/is/image/MCY/17106627 ")</f>
        <v xml:space="preserve">http://slimages.macys.com/is/image/MCY/17106627 </v>
      </c>
    </row>
    <row r="5" spans="1:12" ht="39.950000000000003" customHeight="1" x14ac:dyDescent="0.25">
      <c r="A5" s="6" t="s">
        <v>3442</v>
      </c>
      <c r="B5" s="7" t="s">
        <v>3443</v>
      </c>
      <c r="C5" s="8">
        <v>1</v>
      </c>
      <c r="D5" s="9">
        <v>199.99</v>
      </c>
      <c r="E5" s="8" t="s">
        <v>3444</v>
      </c>
      <c r="F5" s="7" t="s">
        <v>3445</v>
      </c>
      <c r="G5" s="10"/>
      <c r="H5" s="7" t="s">
        <v>3440</v>
      </c>
      <c r="I5" s="7" t="s">
        <v>3446</v>
      </c>
      <c r="J5" s="7" t="s">
        <v>3426</v>
      </c>
      <c r="K5" s="7" t="s">
        <v>3447</v>
      </c>
      <c r="L5" s="11" t="str">
        <f>HYPERLINK("http://slimages.macys.com/is/image/MCY/15273410 ")</f>
        <v xml:space="preserve">http://slimages.macys.com/is/image/MCY/15273410 </v>
      </c>
    </row>
    <row r="6" spans="1:12" ht="39.950000000000003" customHeight="1" x14ac:dyDescent="0.25">
      <c r="A6" s="6" t="s">
        <v>3448</v>
      </c>
      <c r="B6" s="7" t="s">
        <v>3449</v>
      </c>
      <c r="C6" s="8">
        <v>1</v>
      </c>
      <c r="D6" s="9">
        <v>139.99</v>
      </c>
      <c r="E6" s="8" t="s">
        <v>3450</v>
      </c>
      <c r="F6" s="7" t="s">
        <v>3451</v>
      </c>
      <c r="G6" s="10"/>
      <c r="H6" s="7" t="s">
        <v>3452</v>
      </c>
      <c r="I6" s="7" t="s">
        <v>3453</v>
      </c>
      <c r="J6" s="7" t="s">
        <v>3426</v>
      </c>
      <c r="K6" s="7"/>
      <c r="L6" s="11" t="str">
        <f>HYPERLINK("http://slimages.macys.com/is/image/MCY/13441238 ")</f>
        <v xml:space="preserve">http://slimages.macys.com/is/image/MCY/13441238 </v>
      </c>
    </row>
    <row r="7" spans="1:12" ht="39.950000000000003" customHeight="1" x14ac:dyDescent="0.25">
      <c r="A7" s="6" t="s">
        <v>3454</v>
      </c>
      <c r="B7" s="7" t="s">
        <v>3455</v>
      </c>
      <c r="C7" s="8">
        <v>2</v>
      </c>
      <c r="D7" s="9">
        <v>219.98</v>
      </c>
      <c r="E7" s="8" t="s">
        <v>3456</v>
      </c>
      <c r="F7" s="7" t="s">
        <v>3457</v>
      </c>
      <c r="G7" s="10"/>
      <c r="H7" s="7" t="s">
        <v>3458</v>
      </c>
      <c r="I7" s="7" t="s">
        <v>3459</v>
      </c>
      <c r="J7" s="7" t="s">
        <v>3426</v>
      </c>
      <c r="K7" s="7"/>
      <c r="L7" s="11" t="str">
        <f>HYPERLINK("http://slimages.macys.com/is/image/MCY/11534834 ")</f>
        <v xml:space="preserve">http://slimages.macys.com/is/image/MCY/11534834 </v>
      </c>
    </row>
    <row r="8" spans="1:12" ht="39.950000000000003" customHeight="1" x14ac:dyDescent="0.25">
      <c r="A8" s="6" t="s">
        <v>3460</v>
      </c>
      <c r="B8" s="7" t="s">
        <v>3461</v>
      </c>
      <c r="C8" s="8">
        <v>1</v>
      </c>
      <c r="D8" s="9">
        <v>129.99</v>
      </c>
      <c r="E8" s="8" t="s">
        <v>3462</v>
      </c>
      <c r="F8" s="7" t="s">
        <v>3463</v>
      </c>
      <c r="G8" s="10"/>
      <c r="H8" s="7" t="s">
        <v>3452</v>
      </c>
      <c r="I8" s="7" t="s">
        <v>3453</v>
      </c>
      <c r="J8" s="7" t="s">
        <v>3426</v>
      </c>
      <c r="K8" s="7"/>
      <c r="L8" s="11" t="str">
        <f>HYPERLINK("http://slimages.macys.com/is/image/MCY/11320918 ")</f>
        <v xml:space="preserve">http://slimages.macys.com/is/image/MCY/11320918 </v>
      </c>
    </row>
    <row r="9" spans="1:12" ht="39.950000000000003" customHeight="1" x14ac:dyDescent="0.25">
      <c r="A9" s="6" t="s">
        <v>3464</v>
      </c>
      <c r="B9" s="7" t="s">
        <v>3465</v>
      </c>
      <c r="C9" s="8">
        <v>1</v>
      </c>
      <c r="D9" s="9">
        <v>78.11</v>
      </c>
      <c r="E9" s="8" t="s">
        <v>3466</v>
      </c>
      <c r="F9" s="7"/>
      <c r="G9" s="10"/>
      <c r="H9" s="7" t="s">
        <v>3467</v>
      </c>
      <c r="I9" s="7" t="s">
        <v>3468</v>
      </c>
      <c r="J9" s="7" t="s">
        <v>3426</v>
      </c>
      <c r="K9" s="7" t="s">
        <v>3469</v>
      </c>
      <c r="L9" s="11" t="str">
        <f>HYPERLINK("http://slimages.macys.com/is/image/MCY/13417209 ")</f>
        <v xml:space="preserve">http://slimages.macys.com/is/image/MCY/13417209 </v>
      </c>
    </row>
    <row r="10" spans="1:12" ht="39.950000000000003" customHeight="1" x14ac:dyDescent="0.25">
      <c r="A10" s="6" t="s">
        <v>3470</v>
      </c>
      <c r="B10" s="7" t="s">
        <v>3471</v>
      </c>
      <c r="C10" s="8">
        <v>1</v>
      </c>
      <c r="D10" s="9">
        <v>99.99</v>
      </c>
      <c r="E10" s="8" t="s">
        <v>3472</v>
      </c>
      <c r="F10" s="7" t="s">
        <v>3445</v>
      </c>
      <c r="G10" s="10"/>
      <c r="H10" s="7" t="s">
        <v>3467</v>
      </c>
      <c r="I10" s="7" t="s">
        <v>3473</v>
      </c>
      <c r="J10" s="7" t="s">
        <v>3426</v>
      </c>
      <c r="K10" s="7" t="s">
        <v>3474</v>
      </c>
      <c r="L10" s="11" t="str">
        <f>HYPERLINK("http://slimages.macys.com/is/image/MCY/12355110 ")</f>
        <v xml:space="preserve">http://slimages.macys.com/is/image/MCY/12355110 </v>
      </c>
    </row>
    <row r="11" spans="1:12" ht="39.950000000000003" customHeight="1" x14ac:dyDescent="0.25">
      <c r="A11" s="6" t="s">
        <v>3475</v>
      </c>
      <c r="B11" s="7" t="s">
        <v>3476</v>
      </c>
      <c r="C11" s="8">
        <v>1</v>
      </c>
      <c r="D11" s="9">
        <v>99.99</v>
      </c>
      <c r="E11" s="8">
        <v>81367</v>
      </c>
      <c r="F11" s="7" t="s">
        <v>3477</v>
      </c>
      <c r="G11" s="10"/>
      <c r="H11" s="7" t="s">
        <v>3478</v>
      </c>
      <c r="I11" s="7" t="s">
        <v>3479</v>
      </c>
      <c r="J11" s="7" t="s">
        <v>3426</v>
      </c>
      <c r="K11" s="7" t="s">
        <v>3480</v>
      </c>
      <c r="L11" s="11" t="str">
        <f>HYPERLINK("http://slimages.macys.com/is/image/MCY/15666726 ")</f>
        <v xml:space="preserve">http://slimages.macys.com/is/image/MCY/15666726 </v>
      </c>
    </row>
    <row r="12" spans="1:12" ht="39.950000000000003" customHeight="1" x14ac:dyDescent="0.25">
      <c r="A12" s="6" t="s">
        <v>3481</v>
      </c>
      <c r="B12" s="7" t="s">
        <v>3482</v>
      </c>
      <c r="C12" s="8">
        <v>1</v>
      </c>
      <c r="D12" s="9">
        <v>99.99</v>
      </c>
      <c r="E12" s="8" t="s">
        <v>3483</v>
      </c>
      <c r="F12" s="7" t="s">
        <v>3484</v>
      </c>
      <c r="G12" s="10"/>
      <c r="H12" s="7" t="s">
        <v>3458</v>
      </c>
      <c r="I12" s="7" t="s">
        <v>3459</v>
      </c>
      <c r="J12" s="7" t="s">
        <v>3426</v>
      </c>
      <c r="K12" s="7" t="s">
        <v>3485</v>
      </c>
      <c r="L12" s="11" t="str">
        <f>HYPERLINK("http://slimages.macys.com/is/image/MCY/11607139 ")</f>
        <v xml:space="preserve">http://slimages.macys.com/is/image/MCY/11607139 </v>
      </c>
    </row>
    <row r="13" spans="1:12" ht="39.950000000000003" customHeight="1" x14ac:dyDescent="0.25">
      <c r="A13" s="6" t="s">
        <v>3486</v>
      </c>
      <c r="B13" s="7" t="s">
        <v>3487</v>
      </c>
      <c r="C13" s="8">
        <v>1</v>
      </c>
      <c r="D13" s="9">
        <v>104.99</v>
      </c>
      <c r="E13" s="8" t="s">
        <v>3488</v>
      </c>
      <c r="F13" s="7" t="s">
        <v>3484</v>
      </c>
      <c r="G13" s="10" t="s">
        <v>3489</v>
      </c>
      <c r="H13" s="7" t="s">
        <v>3490</v>
      </c>
      <c r="I13" s="7" t="s">
        <v>3491</v>
      </c>
      <c r="J13" s="7" t="s">
        <v>3426</v>
      </c>
      <c r="K13" s="7" t="s">
        <v>3492</v>
      </c>
      <c r="L13" s="11" t="str">
        <f>HYPERLINK("http://slimages.macys.com/is/image/MCY/10907541 ")</f>
        <v xml:space="preserve">http://slimages.macys.com/is/image/MCY/10907541 </v>
      </c>
    </row>
    <row r="14" spans="1:12" ht="39.950000000000003" customHeight="1" x14ac:dyDescent="0.25">
      <c r="A14" s="6" t="s">
        <v>3493</v>
      </c>
      <c r="B14" s="7" t="s">
        <v>3494</v>
      </c>
      <c r="C14" s="8">
        <v>1</v>
      </c>
      <c r="D14" s="9">
        <v>119.99</v>
      </c>
      <c r="E14" s="8" t="s">
        <v>3495</v>
      </c>
      <c r="F14" s="7" t="s">
        <v>3496</v>
      </c>
      <c r="G14" s="10"/>
      <c r="H14" s="7" t="s">
        <v>3452</v>
      </c>
      <c r="I14" s="7" t="s">
        <v>3453</v>
      </c>
      <c r="J14" s="7"/>
      <c r="K14" s="7"/>
      <c r="L14" s="11" t="str">
        <f>HYPERLINK("http://slimages.macys.com/is/image/MCY/18210912 ")</f>
        <v xml:space="preserve">http://slimages.macys.com/is/image/MCY/18210912 </v>
      </c>
    </row>
    <row r="15" spans="1:12" ht="39.950000000000003" customHeight="1" x14ac:dyDescent="0.25">
      <c r="A15" s="6" t="s">
        <v>3497</v>
      </c>
      <c r="B15" s="7" t="s">
        <v>3498</v>
      </c>
      <c r="C15" s="8">
        <v>1</v>
      </c>
      <c r="D15" s="9">
        <v>99.99</v>
      </c>
      <c r="E15" s="8" t="s">
        <v>3499</v>
      </c>
      <c r="F15" s="7" t="s">
        <v>3500</v>
      </c>
      <c r="G15" s="10"/>
      <c r="H15" s="7" t="s">
        <v>3452</v>
      </c>
      <c r="I15" s="7" t="s">
        <v>3453</v>
      </c>
      <c r="J15" s="7"/>
      <c r="K15" s="7"/>
      <c r="L15" s="11" t="str">
        <f>HYPERLINK("http://slimages.macys.com/is/image/MCY/17450404 ")</f>
        <v xml:space="preserve">http://slimages.macys.com/is/image/MCY/17450404 </v>
      </c>
    </row>
    <row r="16" spans="1:12" ht="39.950000000000003" customHeight="1" x14ac:dyDescent="0.25">
      <c r="A16" s="6" t="s">
        <v>3501</v>
      </c>
      <c r="B16" s="7" t="s">
        <v>3502</v>
      </c>
      <c r="C16" s="8">
        <v>1</v>
      </c>
      <c r="D16" s="9">
        <v>69.989999999999995</v>
      </c>
      <c r="E16" s="8" t="s">
        <v>3503</v>
      </c>
      <c r="F16" s="7" t="s">
        <v>3504</v>
      </c>
      <c r="G16" s="10"/>
      <c r="H16" s="7" t="s">
        <v>3458</v>
      </c>
      <c r="I16" s="7" t="s">
        <v>3459</v>
      </c>
      <c r="J16" s="7" t="s">
        <v>3426</v>
      </c>
      <c r="K16" s="7" t="s">
        <v>3485</v>
      </c>
      <c r="L16" s="11" t="str">
        <f>HYPERLINK("http://slimages.macys.com/is/image/MCY/11607139 ")</f>
        <v xml:space="preserve">http://slimages.macys.com/is/image/MCY/11607139 </v>
      </c>
    </row>
    <row r="17" spans="1:12" ht="39.950000000000003" customHeight="1" x14ac:dyDescent="0.25">
      <c r="A17" s="6" t="s">
        <v>3505</v>
      </c>
      <c r="B17" s="7" t="s">
        <v>3506</v>
      </c>
      <c r="C17" s="8">
        <v>1</v>
      </c>
      <c r="D17" s="9">
        <v>69.989999999999995</v>
      </c>
      <c r="E17" s="8" t="s">
        <v>3507</v>
      </c>
      <c r="F17" s="7" t="s">
        <v>3431</v>
      </c>
      <c r="G17" s="10"/>
      <c r="H17" s="7" t="s">
        <v>3424</v>
      </c>
      <c r="I17" s="7" t="s">
        <v>3508</v>
      </c>
      <c r="J17" s="7" t="s">
        <v>3426</v>
      </c>
      <c r="K17" s="7" t="s">
        <v>3492</v>
      </c>
      <c r="L17" s="11" t="str">
        <f>HYPERLINK("http://slimages.macys.com/is/image/MCY/15937050 ")</f>
        <v xml:space="preserve">http://slimages.macys.com/is/image/MCY/15937050 </v>
      </c>
    </row>
    <row r="18" spans="1:12" ht="39.950000000000003" customHeight="1" x14ac:dyDescent="0.25">
      <c r="A18" s="6" t="s">
        <v>3509</v>
      </c>
      <c r="B18" s="7" t="s">
        <v>3510</v>
      </c>
      <c r="C18" s="8">
        <v>1</v>
      </c>
      <c r="D18" s="9">
        <v>64.989999999999995</v>
      </c>
      <c r="E18" s="8">
        <v>100071457</v>
      </c>
      <c r="F18" s="7" t="s">
        <v>3511</v>
      </c>
      <c r="G18" s="10" t="s">
        <v>3512</v>
      </c>
      <c r="H18" s="7" t="s">
        <v>3513</v>
      </c>
      <c r="I18" s="7" t="s">
        <v>3514</v>
      </c>
      <c r="J18" s="7" t="s">
        <v>3426</v>
      </c>
      <c r="K18" s="7"/>
      <c r="L18" s="11" t="str">
        <f>HYPERLINK("http://slimages.macys.com/is/image/MCY/17792861 ")</f>
        <v xml:space="preserve">http://slimages.macys.com/is/image/MCY/17792861 </v>
      </c>
    </row>
    <row r="19" spans="1:12" ht="39.950000000000003" customHeight="1" x14ac:dyDescent="0.25">
      <c r="A19" s="6" t="s">
        <v>3515</v>
      </c>
      <c r="B19" s="7" t="s">
        <v>3516</v>
      </c>
      <c r="C19" s="8">
        <v>1</v>
      </c>
      <c r="D19" s="9">
        <v>59.99</v>
      </c>
      <c r="E19" s="8">
        <v>21477322</v>
      </c>
      <c r="F19" s="7" t="s">
        <v>3477</v>
      </c>
      <c r="G19" s="10"/>
      <c r="H19" s="7" t="s">
        <v>3478</v>
      </c>
      <c r="I19" s="7" t="s">
        <v>3517</v>
      </c>
      <c r="J19" s="7" t="s">
        <v>3426</v>
      </c>
      <c r="K19" s="7" t="s">
        <v>3518</v>
      </c>
      <c r="L19" s="11" t="str">
        <f>HYPERLINK("http://slimages.macys.com/is/image/MCY/15396155 ")</f>
        <v xml:space="preserve">http://slimages.macys.com/is/image/MCY/15396155 </v>
      </c>
    </row>
    <row r="20" spans="1:12" ht="39.950000000000003" customHeight="1" x14ac:dyDescent="0.25">
      <c r="A20" s="6" t="s">
        <v>3519</v>
      </c>
      <c r="B20" s="7" t="s">
        <v>3520</v>
      </c>
      <c r="C20" s="8">
        <v>1</v>
      </c>
      <c r="D20" s="9">
        <v>89.99</v>
      </c>
      <c r="E20" s="8" t="s">
        <v>3521</v>
      </c>
      <c r="F20" s="7" t="s">
        <v>3463</v>
      </c>
      <c r="G20" s="10"/>
      <c r="H20" s="7" t="s">
        <v>3440</v>
      </c>
      <c r="I20" s="7" t="s">
        <v>3441</v>
      </c>
      <c r="J20" s="7" t="s">
        <v>3426</v>
      </c>
      <c r="K20" s="7" t="s">
        <v>3492</v>
      </c>
      <c r="L20" s="11" t="str">
        <f>HYPERLINK("http://slimages.macys.com/is/image/MCY/15299410 ")</f>
        <v xml:space="preserve">http://slimages.macys.com/is/image/MCY/15299410 </v>
      </c>
    </row>
    <row r="21" spans="1:12" ht="39.950000000000003" customHeight="1" x14ac:dyDescent="0.25">
      <c r="A21" s="6" t="s">
        <v>3522</v>
      </c>
      <c r="B21" s="7" t="s">
        <v>3523</v>
      </c>
      <c r="C21" s="8">
        <v>1</v>
      </c>
      <c r="D21" s="9">
        <v>89.99</v>
      </c>
      <c r="E21" s="8" t="s">
        <v>3524</v>
      </c>
      <c r="F21" s="7" t="s">
        <v>3445</v>
      </c>
      <c r="G21" s="10"/>
      <c r="H21" s="7" t="s">
        <v>3525</v>
      </c>
      <c r="I21" s="7" t="s">
        <v>3526</v>
      </c>
      <c r="J21" s="7"/>
      <c r="K21" s="7"/>
      <c r="L21" s="11" t="str">
        <f>HYPERLINK("http://slimages.macys.com/is/image/MCY/17790721 ")</f>
        <v xml:space="preserve">http://slimages.macys.com/is/image/MCY/17790721 </v>
      </c>
    </row>
    <row r="22" spans="1:12" ht="39.950000000000003" customHeight="1" x14ac:dyDescent="0.25">
      <c r="A22" s="6" t="s">
        <v>3527</v>
      </c>
      <c r="B22" s="7" t="s">
        <v>3528</v>
      </c>
      <c r="C22" s="8">
        <v>1</v>
      </c>
      <c r="D22" s="9">
        <v>49.99</v>
      </c>
      <c r="E22" s="8" t="s">
        <v>3529</v>
      </c>
      <c r="F22" s="7" t="s">
        <v>3530</v>
      </c>
      <c r="G22" s="10"/>
      <c r="H22" s="7" t="s">
        <v>3424</v>
      </c>
      <c r="I22" s="7" t="s">
        <v>3531</v>
      </c>
      <c r="J22" s="7" t="s">
        <v>3426</v>
      </c>
      <c r="K22" s="7" t="s">
        <v>3492</v>
      </c>
      <c r="L22" s="11" t="str">
        <f>HYPERLINK("http://slimages.macys.com/is/image/MCY/11625117 ")</f>
        <v xml:space="preserve">http://slimages.macys.com/is/image/MCY/11625117 </v>
      </c>
    </row>
    <row r="23" spans="1:12" ht="39.950000000000003" customHeight="1" x14ac:dyDescent="0.25">
      <c r="A23" s="6" t="s">
        <v>3532</v>
      </c>
      <c r="B23" s="7" t="s">
        <v>3533</v>
      </c>
      <c r="C23" s="8">
        <v>1</v>
      </c>
      <c r="D23" s="9">
        <v>35.99</v>
      </c>
      <c r="E23" s="8" t="s">
        <v>3534</v>
      </c>
      <c r="F23" s="7" t="s">
        <v>3535</v>
      </c>
      <c r="G23" s="10" t="s">
        <v>3489</v>
      </c>
      <c r="H23" s="7" t="s">
        <v>3432</v>
      </c>
      <c r="I23" s="7" t="s">
        <v>3536</v>
      </c>
      <c r="J23" s="7" t="s">
        <v>3426</v>
      </c>
      <c r="K23" s="7" t="s">
        <v>3537</v>
      </c>
      <c r="L23" s="11" t="str">
        <f>HYPERLINK("http://slimages.macys.com/is/image/MCY/16276103 ")</f>
        <v xml:space="preserve">http://slimages.macys.com/is/image/MCY/16276103 </v>
      </c>
    </row>
    <row r="24" spans="1:12" ht="39.950000000000003" customHeight="1" x14ac:dyDescent="0.25">
      <c r="A24" s="6" t="s">
        <v>3538</v>
      </c>
      <c r="B24" s="7" t="s">
        <v>3539</v>
      </c>
      <c r="C24" s="8">
        <v>1</v>
      </c>
      <c r="D24" s="9">
        <v>44.99</v>
      </c>
      <c r="E24" s="8" t="s">
        <v>3540</v>
      </c>
      <c r="F24" s="7" t="s">
        <v>3541</v>
      </c>
      <c r="G24" s="10"/>
      <c r="H24" s="7" t="s">
        <v>3542</v>
      </c>
      <c r="I24" s="7" t="s">
        <v>3543</v>
      </c>
      <c r="J24" s="7" t="s">
        <v>3426</v>
      </c>
      <c r="K24" s="7" t="s">
        <v>3518</v>
      </c>
      <c r="L24" s="11" t="str">
        <f>HYPERLINK("http://slimages.macys.com/is/image/MCY/8993132 ")</f>
        <v xml:space="preserve">http://slimages.macys.com/is/image/MCY/8993132 </v>
      </c>
    </row>
    <row r="25" spans="1:12" ht="39.950000000000003" customHeight="1" x14ac:dyDescent="0.25">
      <c r="A25" s="6" t="s">
        <v>3544</v>
      </c>
      <c r="B25" s="7" t="s">
        <v>3545</v>
      </c>
      <c r="C25" s="8">
        <v>1</v>
      </c>
      <c r="D25" s="9">
        <v>99.99</v>
      </c>
      <c r="E25" s="8" t="s">
        <v>3546</v>
      </c>
      <c r="F25" s="7" t="s">
        <v>3445</v>
      </c>
      <c r="G25" s="10" t="s">
        <v>3547</v>
      </c>
      <c r="H25" s="7" t="s">
        <v>3525</v>
      </c>
      <c r="I25" s="7" t="s">
        <v>3548</v>
      </c>
      <c r="J25" s="7" t="s">
        <v>3549</v>
      </c>
      <c r="K25" s="7"/>
      <c r="L25" s="11" t="str">
        <f>HYPERLINK("http://slimages.macys.com/is/image/MCY/12779303 ")</f>
        <v xml:space="preserve">http://slimages.macys.com/is/image/MCY/12779303 </v>
      </c>
    </row>
    <row r="26" spans="1:12" ht="39.950000000000003" customHeight="1" x14ac:dyDescent="0.25">
      <c r="A26" s="6" t="s">
        <v>3550</v>
      </c>
      <c r="B26" s="7" t="s">
        <v>3551</v>
      </c>
      <c r="C26" s="8">
        <v>2</v>
      </c>
      <c r="D26" s="9">
        <v>93.98</v>
      </c>
      <c r="E26" s="8" t="s">
        <v>3552</v>
      </c>
      <c r="F26" s="7" t="s">
        <v>3431</v>
      </c>
      <c r="G26" s="10"/>
      <c r="H26" s="7" t="s">
        <v>3490</v>
      </c>
      <c r="I26" s="7" t="s">
        <v>3553</v>
      </c>
      <c r="J26" s="7" t="s">
        <v>3426</v>
      </c>
      <c r="K26" s="7" t="s">
        <v>3518</v>
      </c>
      <c r="L26" s="11" t="str">
        <f>HYPERLINK("http://slimages.macys.com/is/image/MCY/9192778 ")</f>
        <v xml:space="preserve">http://slimages.macys.com/is/image/MCY/9192778 </v>
      </c>
    </row>
    <row r="27" spans="1:12" ht="39.950000000000003" customHeight="1" x14ac:dyDescent="0.25">
      <c r="A27" s="6" t="s">
        <v>3554</v>
      </c>
      <c r="B27" s="7" t="s">
        <v>3555</v>
      </c>
      <c r="C27" s="8">
        <v>1</v>
      </c>
      <c r="D27" s="9">
        <v>59.99</v>
      </c>
      <c r="E27" s="8">
        <v>10006941100</v>
      </c>
      <c r="F27" s="7" t="s">
        <v>3438</v>
      </c>
      <c r="G27" s="10"/>
      <c r="H27" s="7" t="s">
        <v>3440</v>
      </c>
      <c r="I27" s="7" t="s">
        <v>3446</v>
      </c>
      <c r="J27" s="7" t="s">
        <v>3426</v>
      </c>
      <c r="K27" s="7" t="s">
        <v>3556</v>
      </c>
      <c r="L27" s="11" t="str">
        <f>HYPERLINK("http://slimages.macys.com/is/image/MCY/14788493 ")</f>
        <v xml:space="preserve">http://slimages.macys.com/is/image/MCY/14788493 </v>
      </c>
    </row>
    <row r="28" spans="1:12" ht="39.950000000000003" customHeight="1" x14ac:dyDescent="0.25">
      <c r="A28" s="6" t="s">
        <v>3557</v>
      </c>
      <c r="B28" s="7" t="s">
        <v>3558</v>
      </c>
      <c r="C28" s="8">
        <v>1</v>
      </c>
      <c r="D28" s="9">
        <v>78.11</v>
      </c>
      <c r="E28" s="8">
        <v>70114</v>
      </c>
      <c r="F28" s="7"/>
      <c r="G28" s="10"/>
      <c r="H28" s="7" t="s">
        <v>3559</v>
      </c>
      <c r="I28" s="7" t="s">
        <v>3560</v>
      </c>
      <c r="J28" s="7" t="s">
        <v>3426</v>
      </c>
      <c r="K28" s="7" t="s">
        <v>3561</v>
      </c>
      <c r="L28" s="11" t="str">
        <f>HYPERLINK("http://slimages.macys.com/is/image/MCY/16080633 ")</f>
        <v xml:space="preserve">http://slimages.macys.com/is/image/MCY/16080633 </v>
      </c>
    </row>
    <row r="29" spans="1:12" ht="39.950000000000003" customHeight="1" x14ac:dyDescent="0.25">
      <c r="A29" s="6" t="s">
        <v>3562</v>
      </c>
      <c r="B29" s="7" t="s">
        <v>3563</v>
      </c>
      <c r="C29" s="8">
        <v>1</v>
      </c>
      <c r="D29" s="9">
        <v>36.99</v>
      </c>
      <c r="E29" s="8">
        <v>46743</v>
      </c>
      <c r="F29" s="7" t="s">
        <v>3445</v>
      </c>
      <c r="G29" s="10" t="s">
        <v>3547</v>
      </c>
      <c r="H29" s="7" t="s">
        <v>3559</v>
      </c>
      <c r="I29" s="7" t="s">
        <v>3560</v>
      </c>
      <c r="J29" s="7" t="s">
        <v>3564</v>
      </c>
      <c r="K29" s="7" t="s">
        <v>3492</v>
      </c>
      <c r="L29" s="11" t="str">
        <f>HYPERLINK("http://slimages.macys.com/is/image/MCY/10055895 ")</f>
        <v xml:space="preserve">http://slimages.macys.com/is/image/MCY/10055895 </v>
      </c>
    </row>
    <row r="30" spans="1:12" ht="39.950000000000003" customHeight="1" x14ac:dyDescent="0.25">
      <c r="A30" s="6" t="s">
        <v>3565</v>
      </c>
      <c r="B30" s="7" t="s">
        <v>3566</v>
      </c>
      <c r="C30" s="8">
        <v>1</v>
      </c>
      <c r="D30" s="9">
        <v>24.99</v>
      </c>
      <c r="E30" s="8" t="s">
        <v>3567</v>
      </c>
      <c r="F30" s="7" t="s">
        <v>3511</v>
      </c>
      <c r="G30" s="10"/>
      <c r="H30" s="7" t="s">
        <v>3568</v>
      </c>
      <c r="I30" s="7" t="s">
        <v>3569</v>
      </c>
      <c r="J30" s="7" t="s">
        <v>3426</v>
      </c>
      <c r="K30" s="7"/>
      <c r="L30" s="11" t="str">
        <f>HYPERLINK("http://slimages.macys.com/is/image/MCY/9408114 ")</f>
        <v xml:space="preserve">http://slimages.macys.com/is/image/MCY/9408114 </v>
      </c>
    </row>
    <row r="31" spans="1:12" ht="39.950000000000003" customHeight="1" x14ac:dyDescent="0.25">
      <c r="A31" s="6" t="s">
        <v>3570</v>
      </c>
      <c r="B31" s="7" t="s">
        <v>3571</v>
      </c>
      <c r="C31" s="8">
        <v>1</v>
      </c>
      <c r="D31" s="9">
        <v>39.99</v>
      </c>
      <c r="E31" s="8">
        <v>10008228100</v>
      </c>
      <c r="F31" s="7" t="s">
        <v>3445</v>
      </c>
      <c r="G31" s="10"/>
      <c r="H31" s="7" t="s">
        <v>3572</v>
      </c>
      <c r="I31" s="7" t="s">
        <v>3573</v>
      </c>
      <c r="J31" s="7" t="s">
        <v>3426</v>
      </c>
      <c r="K31" s="7"/>
      <c r="L31" s="11" t="str">
        <f>HYPERLINK("http://slimages.macys.com/is/image/MCY/16384063 ")</f>
        <v xml:space="preserve">http://slimages.macys.com/is/image/MCY/16384063 </v>
      </c>
    </row>
    <row r="32" spans="1:12" ht="39.950000000000003" customHeight="1" x14ac:dyDescent="0.25">
      <c r="A32" s="6" t="s">
        <v>3574</v>
      </c>
      <c r="B32" s="7" t="s">
        <v>3575</v>
      </c>
      <c r="C32" s="8">
        <v>1</v>
      </c>
      <c r="D32" s="9">
        <v>25.99</v>
      </c>
      <c r="E32" s="8" t="s">
        <v>3576</v>
      </c>
      <c r="F32" s="7" t="s">
        <v>3463</v>
      </c>
      <c r="G32" s="10"/>
      <c r="H32" s="7" t="s">
        <v>3542</v>
      </c>
      <c r="I32" s="7" t="s">
        <v>3577</v>
      </c>
      <c r="J32" s="7" t="s">
        <v>3426</v>
      </c>
      <c r="K32" s="7" t="s">
        <v>3578</v>
      </c>
      <c r="L32" s="11" t="str">
        <f>HYPERLINK("http://slimages.macys.com/is/image/MCY/13742799 ")</f>
        <v xml:space="preserve">http://slimages.macys.com/is/image/MCY/13742799 </v>
      </c>
    </row>
    <row r="33" spans="1:12" ht="39.950000000000003" customHeight="1" x14ac:dyDescent="0.25">
      <c r="A33" s="6" t="s">
        <v>3579</v>
      </c>
      <c r="B33" s="7" t="s">
        <v>3580</v>
      </c>
      <c r="C33" s="8">
        <v>1</v>
      </c>
      <c r="D33" s="9">
        <v>26.99</v>
      </c>
      <c r="E33" s="8" t="s">
        <v>3581</v>
      </c>
      <c r="F33" s="7" t="s">
        <v>3463</v>
      </c>
      <c r="G33" s="10" t="s">
        <v>3582</v>
      </c>
      <c r="H33" s="7" t="s">
        <v>3583</v>
      </c>
      <c r="I33" s="7" t="s">
        <v>3553</v>
      </c>
      <c r="J33" s="7" t="s">
        <v>3426</v>
      </c>
      <c r="K33" s="7" t="s">
        <v>3584</v>
      </c>
      <c r="L33" s="11" t="str">
        <f>HYPERLINK("http://slimages.macys.com/is/image/MCY/10082379 ")</f>
        <v xml:space="preserve">http://slimages.macys.com/is/image/MCY/10082379 </v>
      </c>
    </row>
    <row r="34" spans="1:12" ht="39.950000000000003" customHeight="1" x14ac:dyDescent="0.25">
      <c r="A34" s="6" t="s">
        <v>3585</v>
      </c>
      <c r="B34" s="7" t="s">
        <v>3586</v>
      </c>
      <c r="C34" s="8">
        <v>1</v>
      </c>
      <c r="D34" s="9">
        <v>39.99</v>
      </c>
      <c r="E34" s="8" t="s">
        <v>3587</v>
      </c>
      <c r="F34" s="7" t="s">
        <v>3588</v>
      </c>
      <c r="G34" s="10"/>
      <c r="H34" s="7" t="s">
        <v>3452</v>
      </c>
      <c r="I34" s="7" t="s">
        <v>3453</v>
      </c>
      <c r="J34" s="7" t="s">
        <v>3426</v>
      </c>
      <c r="K34" s="7"/>
      <c r="L34" s="11" t="str">
        <f>HYPERLINK("http://slimages.macys.com/is/image/MCY/16633344 ")</f>
        <v xml:space="preserve">http://slimages.macys.com/is/image/MCY/16633344 </v>
      </c>
    </row>
    <row r="35" spans="1:12" ht="39.950000000000003" customHeight="1" x14ac:dyDescent="0.25">
      <c r="A35" s="6" t="s">
        <v>3589</v>
      </c>
      <c r="B35" s="7" t="s">
        <v>3590</v>
      </c>
      <c r="C35" s="8">
        <v>1</v>
      </c>
      <c r="D35" s="9">
        <v>29.99</v>
      </c>
      <c r="E35" s="8" t="s">
        <v>3591</v>
      </c>
      <c r="F35" s="7" t="s">
        <v>3496</v>
      </c>
      <c r="G35" s="10"/>
      <c r="H35" s="7" t="s">
        <v>3478</v>
      </c>
      <c r="I35" s="7" t="s">
        <v>3517</v>
      </c>
      <c r="J35" s="7" t="s">
        <v>3426</v>
      </c>
      <c r="K35" s="7" t="s">
        <v>3592</v>
      </c>
      <c r="L35" s="11" t="str">
        <f>HYPERLINK("http://slimages.macys.com/is/image/MCY/9700679 ")</f>
        <v xml:space="preserve">http://slimages.macys.com/is/image/MCY/9700679 </v>
      </c>
    </row>
    <row r="36" spans="1:12" ht="39.950000000000003" customHeight="1" x14ac:dyDescent="0.25">
      <c r="A36" s="6" t="s">
        <v>3593</v>
      </c>
      <c r="B36" s="7" t="s">
        <v>3594</v>
      </c>
      <c r="C36" s="8">
        <v>1</v>
      </c>
      <c r="D36" s="9">
        <v>39.99</v>
      </c>
      <c r="E36" s="8" t="s">
        <v>3595</v>
      </c>
      <c r="F36" s="7" t="s">
        <v>3451</v>
      </c>
      <c r="G36" s="10"/>
      <c r="H36" s="7" t="s">
        <v>3452</v>
      </c>
      <c r="I36" s="7" t="s">
        <v>3453</v>
      </c>
      <c r="J36" s="7" t="s">
        <v>3426</v>
      </c>
      <c r="K36" s="7"/>
      <c r="L36" s="11" t="str">
        <f>HYPERLINK("http://slimages.macys.com/is/image/MCY/13441238 ")</f>
        <v xml:space="preserve">http://slimages.macys.com/is/image/MCY/13441238 </v>
      </c>
    </row>
    <row r="37" spans="1:12" ht="39.950000000000003" customHeight="1" x14ac:dyDescent="0.25">
      <c r="A37" s="6" t="s">
        <v>3596</v>
      </c>
      <c r="B37" s="7" t="s">
        <v>3597</v>
      </c>
      <c r="C37" s="8">
        <v>1</v>
      </c>
      <c r="D37" s="9">
        <v>14.99</v>
      </c>
      <c r="E37" s="8" t="s">
        <v>3598</v>
      </c>
      <c r="F37" s="7" t="s">
        <v>3463</v>
      </c>
      <c r="G37" s="10" t="s">
        <v>3599</v>
      </c>
      <c r="H37" s="7" t="s">
        <v>3583</v>
      </c>
      <c r="I37" s="7" t="s">
        <v>3600</v>
      </c>
      <c r="J37" s="7" t="s">
        <v>3601</v>
      </c>
      <c r="K37" s="7" t="s">
        <v>3602</v>
      </c>
      <c r="L37" s="11" t="str">
        <f>HYPERLINK("http://slimages.macys.com/is/image/MCY/15633945 ")</f>
        <v xml:space="preserve">http://slimages.macys.com/is/image/MCY/15633945 </v>
      </c>
    </row>
    <row r="38" spans="1:12" ht="39.950000000000003" customHeight="1" x14ac:dyDescent="0.25">
      <c r="A38" s="6" t="s">
        <v>3603</v>
      </c>
      <c r="B38" s="7" t="s">
        <v>3604</v>
      </c>
      <c r="C38" s="8">
        <v>1</v>
      </c>
      <c r="D38" s="9">
        <v>78.11</v>
      </c>
      <c r="E38" s="8" t="s">
        <v>3605</v>
      </c>
      <c r="F38" s="7"/>
      <c r="G38" s="10"/>
      <c r="H38" s="7" t="s">
        <v>3452</v>
      </c>
      <c r="I38" s="7" t="s">
        <v>3606</v>
      </c>
      <c r="J38" s="7" t="s">
        <v>3426</v>
      </c>
      <c r="K38" s="7" t="s">
        <v>3518</v>
      </c>
      <c r="L38" s="11" t="str">
        <f>HYPERLINK("http://slimages.macys.com/is/image/MCY/14601403 ")</f>
        <v xml:space="preserve">http://slimages.macys.com/is/image/MCY/14601403 </v>
      </c>
    </row>
    <row r="39" spans="1:12" ht="39.950000000000003" customHeight="1" x14ac:dyDescent="0.25">
      <c r="A39" s="6" t="s">
        <v>3607</v>
      </c>
      <c r="B39" s="7" t="s">
        <v>3608</v>
      </c>
      <c r="C39" s="8">
        <v>1</v>
      </c>
      <c r="D39" s="9">
        <v>23.99</v>
      </c>
      <c r="E39" s="8" t="s">
        <v>3609</v>
      </c>
      <c r="F39" s="7" t="s">
        <v>3610</v>
      </c>
      <c r="G39" s="10" t="s">
        <v>3611</v>
      </c>
      <c r="H39" s="7" t="s">
        <v>3525</v>
      </c>
      <c r="I39" s="7" t="s">
        <v>3612</v>
      </c>
      <c r="J39" s="7" t="s">
        <v>3613</v>
      </c>
      <c r="K39" s="7"/>
      <c r="L39" s="11" t="str">
        <f>HYPERLINK("http://slimages.macys.com/is/image/MCY/9526176 ")</f>
        <v xml:space="preserve">http://slimages.macys.com/is/image/MCY/9526176 </v>
      </c>
    </row>
    <row r="40" spans="1:12" ht="39.950000000000003" customHeight="1" x14ac:dyDescent="0.25">
      <c r="A40" s="6" t="s">
        <v>3614</v>
      </c>
      <c r="B40" s="7" t="s">
        <v>3615</v>
      </c>
      <c r="C40" s="8">
        <v>1</v>
      </c>
      <c r="D40" s="9">
        <v>29.99</v>
      </c>
      <c r="E40" s="8" t="s">
        <v>3616</v>
      </c>
      <c r="F40" s="7" t="s">
        <v>3610</v>
      </c>
      <c r="G40" s="10" t="s">
        <v>3617</v>
      </c>
      <c r="H40" s="7" t="s">
        <v>3525</v>
      </c>
      <c r="I40" s="7" t="s">
        <v>3612</v>
      </c>
      <c r="J40" s="7" t="s">
        <v>3426</v>
      </c>
      <c r="K40" s="7" t="s">
        <v>3618</v>
      </c>
      <c r="L40" s="11" t="str">
        <f>HYPERLINK("http://slimages.macys.com/is/image/MCY/256335 ")</f>
        <v xml:space="preserve">http://slimages.macys.com/is/image/MCY/256335 </v>
      </c>
    </row>
    <row r="41" spans="1:12" ht="39.950000000000003" customHeight="1" x14ac:dyDescent="0.25">
      <c r="A41" s="6" t="s">
        <v>3619</v>
      </c>
      <c r="B41" s="7" t="s">
        <v>3620</v>
      </c>
      <c r="C41" s="8">
        <v>1</v>
      </c>
      <c r="D41" s="9">
        <v>24.99</v>
      </c>
      <c r="E41" s="8" t="s">
        <v>3621</v>
      </c>
      <c r="F41" s="7" t="s">
        <v>3477</v>
      </c>
      <c r="G41" s="10"/>
      <c r="H41" s="7" t="s">
        <v>3432</v>
      </c>
      <c r="I41" s="7" t="s">
        <v>3622</v>
      </c>
      <c r="J41" s="7" t="s">
        <v>3426</v>
      </c>
      <c r="K41" s="7" t="s">
        <v>3518</v>
      </c>
      <c r="L41" s="11" t="str">
        <f>HYPERLINK("http://slimages.macys.com/is/image/MCY/2861128 ")</f>
        <v xml:space="preserve">http://slimages.macys.com/is/image/MCY/2861128 </v>
      </c>
    </row>
    <row r="42" spans="1:12" ht="39.950000000000003" customHeight="1" x14ac:dyDescent="0.25">
      <c r="A42" s="6" t="s">
        <v>3623</v>
      </c>
      <c r="B42" s="7" t="s">
        <v>3624</v>
      </c>
      <c r="C42" s="8">
        <v>2</v>
      </c>
      <c r="D42" s="9">
        <v>59.98</v>
      </c>
      <c r="E42" s="8" t="s">
        <v>3625</v>
      </c>
      <c r="F42" s="7" t="s">
        <v>3484</v>
      </c>
      <c r="G42" s="10"/>
      <c r="H42" s="7" t="s">
        <v>3452</v>
      </c>
      <c r="I42" s="7" t="s">
        <v>3453</v>
      </c>
      <c r="J42" s="7"/>
      <c r="K42" s="7"/>
      <c r="L42" s="11" t="str">
        <f>HYPERLINK("http://slimages.macys.com/is/image/MCY/17450422 ")</f>
        <v xml:space="preserve">http://slimages.macys.com/is/image/MCY/17450422 </v>
      </c>
    </row>
    <row r="43" spans="1:12" ht="39.950000000000003" customHeight="1" x14ac:dyDescent="0.25">
      <c r="A43" s="6" t="s">
        <v>3626</v>
      </c>
      <c r="B43" s="7" t="s">
        <v>3627</v>
      </c>
      <c r="C43" s="8">
        <v>1</v>
      </c>
      <c r="D43" s="9">
        <v>29.99</v>
      </c>
      <c r="E43" s="8" t="s">
        <v>3628</v>
      </c>
      <c r="F43" s="7" t="s">
        <v>3500</v>
      </c>
      <c r="G43" s="10"/>
      <c r="H43" s="7" t="s">
        <v>3452</v>
      </c>
      <c r="I43" s="7" t="s">
        <v>3453</v>
      </c>
      <c r="J43" s="7"/>
      <c r="K43" s="7"/>
      <c r="L43" s="11" t="str">
        <f>HYPERLINK("http://slimages.macys.com/is/image/MCY/17450413 ")</f>
        <v xml:space="preserve">http://slimages.macys.com/is/image/MCY/17450413 </v>
      </c>
    </row>
    <row r="44" spans="1:12" ht="39.950000000000003" customHeight="1" x14ac:dyDescent="0.25">
      <c r="A44" s="6" t="s">
        <v>3629</v>
      </c>
      <c r="B44" s="7" t="s">
        <v>3630</v>
      </c>
      <c r="C44" s="8">
        <v>1</v>
      </c>
      <c r="D44" s="9">
        <v>78.11</v>
      </c>
      <c r="E44" s="8" t="s">
        <v>3631</v>
      </c>
      <c r="F44" s="7"/>
      <c r="G44" s="10"/>
      <c r="H44" s="7" t="s">
        <v>3452</v>
      </c>
      <c r="I44" s="7" t="s">
        <v>3453</v>
      </c>
      <c r="J44" s="7"/>
      <c r="K44" s="7"/>
      <c r="L44" s="11" t="str">
        <f>HYPERLINK("http://slimages.macys.com/is/image/MCY/17450401 ")</f>
        <v xml:space="preserve">http://slimages.macys.com/is/image/MCY/17450401 </v>
      </c>
    </row>
    <row r="45" spans="1:12" ht="39.950000000000003" customHeight="1" x14ac:dyDescent="0.25">
      <c r="A45" s="6" t="s">
        <v>3632</v>
      </c>
      <c r="B45" s="7" t="s">
        <v>3633</v>
      </c>
      <c r="C45" s="8">
        <v>1</v>
      </c>
      <c r="D45" s="9">
        <v>15</v>
      </c>
      <c r="E45" s="8" t="s">
        <v>3634</v>
      </c>
      <c r="F45" s="7" t="s">
        <v>3496</v>
      </c>
      <c r="G45" s="10" t="s">
        <v>3489</v>
      </c>
      <c r="H45" s="7" t="s">
        <v>3635</v>
      </c>
      <c r="I45" s="7" t="s">
        <v>3636</v>
      </c>
      <c r="J45" s="7" t="s">
        <v>3613</v>
      </c>
      <c r="K45" s="7" t="s">
        <v>3637</v>
      </c>
      <c r="L45" s="11" t="str">
        <f>HYPERLINK("http://images.bloomingdales.com/is/image/BLM/9741364 ")</f>
        <v xml:space="preserve">http://images.bloomingdales.com/is/image/BLM/9741364 </v>
      </c>
    </row>
    <row r="46" spans="1:12" ht="39.950000000000003" customHeight="1" x14ac:dyDescent="0.25">
      <c r="A46" s="6" t="s">
        <v>3638</v>
      </c>
      <c r="B46" s="7" t="s">
        <v>3639</v>
      </c>
      <c r="C46" s="8">
        <v>1</v>
      </c>
      <c r="D46" s="9">
        <v>21.99</v>
      </c>
      <c r="E46" s="8" t="s">
        <v>3640</v>
      </c>
      <c r="F46" s="7" t="s">
        <v>3463</v>
      </c>
      <c r="G46" s="10" t="s">
        <v>3641</v>
      </c>
      <c r="H46" s="7" t="s">
        <v>3490</v>
      </c>
      <c r="I46" s="7" t="s">
        <v>3642</v>
      </c>
      <c r="J46" s="7" t="s">
        <v>3426</v>
      </c>
      <c r="K46" s="7" t="s">
        <v>3643</v>
      </c>
      <c r="L46" s="11" t="str">
        <f>HYPERLINK("http://slimages.macys.com/is/image/MCY/14565076 ")</f>
        <v xml:space="preserve">http://slimages.macys.com/is/image/MCY/14565076 </v>
      </c>
    </row>
    <row r="47" spans="1:12" ht="39.950000000000003" customHeight="1" x14ac:dyDescent="0.25">
      <c r="A47" s="6" t="s">
        <v>3644</v>
      </c>
      <c r="B47" s="7" t="s">
        <v>3645</v>
      </c>
      <c r="C47" s="8">
        <v>1</v>
      </c>
      <c r="D47" s="9">
        <v>29.99</v>
      </c>
      <c r="E47" s="8" t="s">
        <v>3646</v>
      </c>
      <c r="F47" s="7" t="s">
        <v>3610</v>
      </c>
      <c r="G47" s="10" t="s">
        <v>3617</v>
      </c>
      <c r="H47" s="7" t="s">
        <v>3525</v>
      </c>
      <c r="I47" s="7" t="s">
        <v>3612</v>
      </c>
      <c r="J47" s="7" t="s">
        <v>3613</v>
      </c>
      <c r="K47" s="7"/>
      <c r="L47" s="11" t="str">
        <f>HYPERLINK("http://slimages.macys.com/is/image/MCY/9406085 ")</f>
        <v xml:space="preserve">http://slimages.macys.com/is/image/MCY/9406085 </v>
      </c>
    </row>
    <row r="48" spans="1:12" ht="39.950000000000003" customHeight="1" x14ac:dyDescent="0.25">
      <c r="A48" s="6" t="s">
        <v>3647</v>
      </c>
      <c r="B48" s="7" t="s">
        <v>3648</v>
      </c>
      <c r="C48" s="8">
        <v>1</v>
      </c>
      <c r="D48" s="9">
        <v>78.11</v>
      </c>
      <c r="E48" s="8">
        <v>28746</v>
      </c>
      <c r="F48" s="7"/>
      <c r="G48" s="10"/>
      <c r="H48" s="7" t="s">
        <v>3490</v>
      </c>
      <c r="I48" s="7" t="s">
        <v>3649</v>
      </c>
      <c r="J48" s="7" t="s">
        <v>3426</v>
      </c>
      <c r="K48" s="7" t="s">
        <v>3518</v>
      </c>
      <c r="L48" s="11" t="str">
        <f>HYPERLINK("http://slimages.macys.com/is/image/MCY/3055425 ")</f>
        <v xml:space="preserve">http://slimages.macys.com/is/image/MCY/3055425 </v>
      </c>
    </row>
    <row r="49" spans="1:12" ht="39.950000000000003" customHeight="1" x14ac:dyDescent="0.25">
      <c r="A49" s="6" t="s">
        <v>3650</v>
      </c>
      <c r="B49" s="7" t="s">
        <v>3651</v>
      </c>
      <c r="C49" s="8">
        <v>1</v>
      </c>
      <c r="D49" s="9">
        <v>16.989999999999998</v>
      </c>
      <c r="E49" s="8" t="s">
        <v>3652</v>
      </c>
      <c r="F49" s="7" t="s">
        <v>3445</v>
      </c>
      <c r="G49" s="10" t="s">
        <v>3653</v>
      </c>
      <c r="H49" s="7" t="s">
        <v>3654</v>
      </c>
      <c r="I49" s="7" t="s">
        <v>3655</v>
      </c>
      <c r="J49" s="7" t="s">
        <v>3426</v>
      </c>
      <c r="K49" s="7" t="s">
        <v>3492</v>
      </c>
      <c r="L49" s="11" t="str">
        <f>HYPERLINK("http://slimages.macys.com/is/image/MCY/12737864 ")</f>
        <v xml:space="preserve">http://slimages.macys.com/is/image/MCY/12737864 </v>
      </c>
    </row>
    <row r="50" spans="1:12" ht="39.950000000000003" customHeight="1" x14ac:dyDescent="0.25">
      <c r="A50" s="6" t="s">
        <v>3656</v>
      </c>
      <c r="B50" s="7" t="s">
        <v>3657</v>
      </c>
      <c r="C50" s="8">
        <v>1</v>
      </c>
      <c r="D50" s="9">
        <v>39.99</v>
      </c>
      <c r="E50" s="8" t="s">
        <v>3658</v>
      </c>
      <c r="F50" s="7" t="s">
        <v>3484</v>
      </c>
      <c r="G50" s="10"/>
      <c r="H50" s="7" t="s">
        <v>3458</v>
      </c>
      <c r="I50" s="7" t="s">
        <v>3459</v>
      </c>
      <c r="J50" s="7" t="s">
        <v>3426</v>
      </c>
      <c r="K50" s="7"/>
      <c r="L50" s="11" t="str">
        <f>HYPERLINK("http://slimages.macys.com/is/image/MCY/8433239 ")</f>
        <v xml:space="preserve">http://slimages.macys.com/is/image/MCY/8433239 </v>
      </c>
    </row>
    <row r="51" spans="1:12" ht="39.950000000000003" customHeight="1" x14ac:dyDescent="0.25">
      <c r="A51" s="6" t="s">
        <v>3659</v>
      </c>
      <c r="B51" s="7" t="s">
        <v>3660</v>
      </c>
      <c r="C51" s="8">
        <v>1</v>
      </c>
      <c r="D51" s="9">
        <v>14.99</v>
      </c>
      <c r="E51" s="8" t="s">
        <v>3661</v>
      </c>
      <c r="F51" s="7" t="s">
        <v>3511</v>
      </c>
      <c r="G51" s="10"/>
      <c r="H51" s="7" t="s">
        <v>3583</v>
      </c>
      <c r="I51" s="7" t="s">
        <v>3662</v>
      </c>
      <c r="J51" s="7" t="s">
        <v>3426</v>
      </c>
      <c r="K51" s="7" t="s">
        <v>3518</v>
      </c>
      <c r="L51" s="11" t="str">
        <f>HYPERLINK("http://slimages.macys.com/is/image/MCY/9092086 ")</f>
        <v xml:space="preserve">http://slimages.macys.com/is/image/MCY/9092086 </v>
      </c>
    </row>
    <row r="52" spans="1:12" ht="39.950000000000003" customHeight="1" x14ac:dyDescent="0.25">
      <c r="A52" s="6" t="s">
        <v>3663</v>
      </c>
      <c r="B52" s="7" t="s">
        <v>3664</v>
      </c>
      <c r="C52" s="8">
        <v>1</v>
      </c>
      <c r="D52" s="9">
        <v>9.99</v>
      </c>
      <c r="E52" s="8" t="s">
        <v>3665</v>
      </c>
      <c r="F52" s="7" t="s">
        <v>3610</v>
      </c>
      <c r="G52" s="10"/>
      <c r="H52" s="7" t="s">
        <v>3525</v>
      </c>
      <c r="I52" s="7" t="s">
        <v>3612</v>
      </c>
      <c r="J52" s="7" t="s">
        <v>3613</v>
      </c>
      <c r="K52" s="7" t="s">
        <v>3666</v>
      </c>
      <c r="L52" s="11" t="str">
        <f>HYPERLINK("http://slimages.macys.com/is/image/MCY/2831820 ")</f>
        <v xml:space="preserve">http://slimages.macys.com/is/image/MCY/2831820 </v>
      </c>
    </row>
    <row r="53" spans="1:12" ht="39.950000000000003" customHeight="1" x14ac:dyDescent="0.25">
      <c r="A53" s="6" t="s">
        <v>3667</v>
      </c>
      <c r="B53" s="7" t="s">
        <v>3668</v>
      </c>
      <c r="C53" s="8">
        <v>15</v>
      </c>
      <c r="D53" s="9">
        <v>600</v>
      </c>
      <c r="E53" s="8"/>
      <c r="F53" s="7" t="s">
        <v>3610</v>
      </c>
      <c r="G53" s="10" t="s">
        <v>3489</v>
      </c>
      <c r="H53" s="7" t="s">
        <v>3669</v>
      </c>
      <c r="I53" s="7" t="s">
        <v>3670</v>
      </c>
      <c r="J53" s="7"/>
      <c r="K53" s="7"/>
      <c r="L53" s="11"/>
    </row>
    <row r="54" spans="1:12" ht="39.950000000000003" customHeight="1" x14ac:dyDescent="0.25">
      <c r="A54" s="6" t="s">
        <v>3671</v>
      </c>
      <c r="B54" s="7" t="s">
        <v>3672</v>
      </c>
      <c r="C54" s="8">
        <v>1</v>
      </c>
      <c r="D54" s="9">
        <v>35.99</v>
      </c>
      <c r="E54" s="8" t="s">
        <v>3673</v>
      </c>
      <c r="F54" s="7" t="s">
        <v>3674</v>
      </c>
      <c r="G54" s="10" t="s">
        <v>3675</v>
      </c>
      <c r="H54" s="7" t="s">
        <v>3676</v>
      </c>
      <c r="I54" s="7" t="s">
        <v>3677</v>
      </c>
      <c r="J54" s="7"/>
      <c r="K54" s="7"/>
      <c r="L54" s="11"/>
    </row>
    <row r="55" spans="1:12" ht="39.950000000000003" customHeight="1" x14ac:dyDescent="0.25">
      <c r="A55" s="6" t="s">
        <v>3678</v>
      </c>
      <c r="B55" s="7" t="s">
        <v>3679</v>
      </c>
      <c r="C55" s="8">
        <v>1</v>
      </c>
      <c r="D55" s="9">
        <v>29.99</v>
      </c>
      <c r="E55" s="8">
        <v>100071336</v>
      </c>
      <c r="F55" s="7" t="s">
        <v>3445</v>
      </c>
      <c r="G55" s="10"/>
      <c r="H55" s="7" t="s">
        <v>3513</v>
      </c>
      <c r="I55" s="7" t="s">
        <v>3514</v>
      </c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2290</v>
      </c>
      <c r="B2" s="7" t="s">
        <v>2291</v>
      </c>
      <c r="C2" s="8">
        <v>1</v>
      </c>
      <c r="D2" s="9">
        <v>349.99</v>
      </c>
      <c r="E2" s="8" t="s">
        <v>2292</v>
      </c>
      <c r="F2" s="7" t="s">
        <v>3438</v>
      </c>
      <c r="G2" s="10"/>
      <c r="H2" s="7" t="s">
        <v>3688</v>
      </c>
      <c r="I2" s="7" t="s">
        <v>3871</v>
      </c>
      <c r="J2" s="7" t="s">
        <v>3426</v>
      </c>
      <c r="K2" s="7" t="s">
        <v>3518</v>
      </c>
      <c r="L2" s="11" t="str">
        <f>HYPERLINK("http://slimages.macys.com/is/image/MCY/3391862 ")</f>
        <v xml:space="preserve">http://slimages.macys.com/is/image/MCY/3391862 </v>
      </c>
    </row>
    <row r="3" spans="1:12" ht="39.950000000000003" customHeight="1" x14ac:dyDescent="0.25">
      <c r="A3" s="6" t="s">
        <v>2293</v>
      </c>
      <c r="B3" s="7" t="s">
        <v>2294</v>
      </c>
      <c r="C3" s="8">
        <v>1</v>
      </c>
      <c r="D3" s="9">
        <v>249.99</v>
      </c>
      <c r="E3" s="8" t="s">
        <v>2295</v>
      </c>
      <c r="F3" s="7" t="s">
        <v>3463</v>
      </c>
      <c r="G3" s="10"/>
      <c r="H3" s="7" t="s">
        <v>3688</v>
      </c>
      <c r="I3" s="7" t="s">
        <v>1513</v>
      </c>
      <c r="J3" s="7" t="s">
        <v>3426</v>
      </c>
      <c r="K3" s="7" t="s">
        <v>3811</v>
      </c>
      <c r="L3" s="11" t="str">
        <f>HYPERLINK("http://slimages.macys.com/is/image/MCY/14309110 ")</f>
        <v xml:space="preserve">http://slimages.macys.com/is/image/MCY/14309110 </v>
      </c>
    </row>
    <row r="4" spans="1:12" ht="39.950000000000003" customHeight="1" x14ac:dyDescent="0.25">
      <c r="A4" s="6" t="s">
        <v>2296</v>
      </c>
      <c r="B4" s="7" t="s">
        <v>2297</v>
      </c>
      <c r="C4" s="8">
        <v>1</v>
      </c>
      <c r="D4" s="9">
        <v>299.99</v>
      </c>
      <c r="E4" s="8" t="s">
        <v>2298</v>
      </c>
      <c r="F4" s="7" t="s">
        <v>3438</v>
      </c>
      <c r="G4" s="10" t="s">
        <v>3439</v>
      </c>
      <c r="H4" s="7" t="s">
        <v>3440</v>
      </c>
      <c r="I4" s="7" t="s">
        <v>3446</v>
      </c>
      <c r="J4" s="7"/>
      <c r="K4" s="7"/>
      <c r="L4" s="11" t="str">
        <f>HYPERLINK("http://slimages.macys.com/is/image/MCY/18173125 ")</f>
        <v xml:space="preserve">http://slimages.macys.com/is/image/MCY/18173125 </v>
      </c>
    </row>
    <row r="5" spans="1:12" ht="39.950000000000003" customHeight="1" x14ac:dyDescent="0.25">
      <c r="A5" s="6" t="s">
        <v>3192</v>
      </c>
      <c r="B5" s="7" t="s">
        <v>3193</v>
      </c>
      <c r="C5" s="8">
        <v>1</v>
      </c>
      <c r="D5" s="9">
        <v>239.99</v>
      </c>
      <c r="E5" s="8" t="s">
        <v>3194</v>
      </c>
      <c r="F5" s="7" t="s">
        <v>3445</v>
      </c>
      <c r="G5" s="10" t="s">
        <v>3439</v>
      </c>
      <c r="H5" s="7" t="s">
        <v>3676</v>
      </c>
      <c r="I5" s="7" t="s">
        <v>3548</v>
      </c>
      <c r="J5" s="7" t="s">
        <v>3564</v>
      </c>
      <c r="K5" s="7" t="s">
        <v>3879</v>
      </c>
      <c r="L5" s="11" t="str">
        <f>HYPERLINK("http://slimages.macys.com/is/image/MCY/3962568 ")</f>
        <v xml:space="preserve">http://slimages.macys.com/is/image/MCY/3962568 </v>
      </c>
    </row>
    <row r="6" spans="1:12" ht="39.950000000000003" customHeight="1" x14ac:dyDescent="0.25">
      <c r="A6" s="6" t="s">
        <v>2299</v>
      </c>
      <c r="B6" s="7" t="s">
        <v>2300</v>
      </c>
      <c r="C6" s="8">
        <v>1</v>
      </c>
      <c r="D6" s="9">
        <v>229.99</v>
      </c>
      <c r="E6" s="8" t="s">
        <v>2301</v>
      </c>
      <c r="F6" s="7" t="s">
        <v>3445</v>
      </c>
      <c r="G6" s="10"/>
      <c r="H6" s="7" t="s">
        <v>3559</v>
      </c>
      <c r="I6" s="7" t="s">
        <v>3777</v>
      </c>
      <c r="J6" s="7"/>
      <c r="K6" s="7"/>
      <c r="L6" s="11" t="str">
        <f>HYPERLINK("http://slimages.macys.com/is/image/MCY/17546293 ")</f>
        <v xml:space="preserve">http://slimages.macys.com/is/image/MCY/17546293 </v>
      </c>
    </row>
    <row r="7" spans="1:12" ht="39.950000000000003" customHeight="1" x14ac:dyDescent="0.25">
      <c r="A7" s="6" t="s">
        <v>3876</v>
      </c>
      <c r="B7" s="7" t="s">
        <v>3877</v>
      </c>
      <c r="C7" s="8">
        <v>1</v>
      </c>
      <c r="D7" s="9">
        <v>274.99</v>
      </c>
      <c r="E7" s="8" t="s">
        <v>3878</v>
      </c>
      <c r="F7" s="7" t="s">
        <v>3445</v>
      </c>
      <c r="G7" s="10"/>
      <c r="H7" s="7" t="s">
        <v>3676</v>
      </c>
      <c r="I7" s="7" t="s">
        <v>3548</v>
      </c>
      <c r="J7" s="7" t="s">
        <v>3564</v>
      </c>
      <c r="K7" s="7" t="s">
        <v>3879</v>
      </c>
      <c r="L7" s="11" t="str">
        <f>HYPERLINK("http://slimages.macys.com/is/image/MCY/3974561 ")</f>
        <v xml:space="preserve">http://slimages.macys.com/is/image/MCY/3974561 </v>
      </c>
    </row>
    <row r="8" spans="1:12" ht="39.950000000000003" customHeight="1" x14ac:dyDescent="0.25">
      <c r="A8" s="6" t="s">
        <v>2302</v>
      </c>
      <c r="B8" s="7" t="s">
        <v>2303</v>
      </c>
      <c r="C8" s="8">
        <v>1</v>
      </c>
      <c r="D8" s="9">
        <v>169.99</v>
      </c>
      <c r="E8" s="8" t="s">
        <v>2304</v>
      </c>
      <c r="F8" s="7" t="s">
        <v>3535</v>
      </c>
      <c r="G8" s="10"/>
      <c r="H8" s="7" t="s">
        <v>3432</v>
      </c>
      <c r="I8" s="7" t="s">
        <v>2305</v>
      </c>
      <c r="J8" s="7" t="s">
        <v>3426</v>
      </c>
      <c r="K8" s="7" t="s">
        <v>3492</v>
      </c>
      <c r="L8" s="11" t="str">
        <f>HYPERLINK("http://slimages.macys.com/is/image/MCY/15444854 ")</f>
        <v xml:space="preserve">http://slimages.macys.com/is/image/MCY/15444854 </v>
      </c>
    </row>
    <row r="9" spans="1:12" ht="39.950000000000003" customHeight="1" x14ac:dyDescent="0.25">
      <c r="A9" s="6" t="s">
        <v>2306</v>
      </c>
      <c r="B9" s="7" t="s">
        <v>2307</v>
      </c>
      <c r="C9" s="8">
        <v>1</v>
      </c>
      <c r="D9" s="9">
        <v>149.99</v>
      </c>
      <c r="E9" s="8" t="s">
        <v>2308</v>
      </c>
      <c r="F9" s="7" t="s">
        <v>3892</v>
      </c>
      <c r="G9" s="10"/>
      <c r="H9" s="7" t="s">
        <v>3432</v>
      </c>
      <c r="I9" s="7" t="s">
        <v>3553</v>
      </c>
      <c r="J9" s="7"/>
      <c r="K9" s="7"/>
      <c r="L9" s="11" t="str">
        <f>HYPERLINK("http://slimages.macys.com/is/image/MCY/17532077 ")</f>
        <v xml:space="preserve">http://slimages.macys.com/is/image/MCY/17532077 </v>
      </c>
    </row>
    <row r="10" spans="1:12" ht="39.950000000000003" customHeight="1" x14ac:dyDescent="0.25">
      <c r="A10" s="6" t="s">
        <v>2309</v>
      </c>
      <c r="B10" s="7" t="s">
        <v>2310</v>
      </c>
      <c r="C10" s="8">
        <v>1</v>
      </c>
      <c r="D10" s="9">
        <v>229.99</v>
      </c>
      <c r="E10" s="8" t="s">
        <v>2311</v>
      </c>
      <c r="F10" s="7" t="s">
        <v>3755</v>
      </c>
      <c r="G10" s="10"/>
      <c r="H10" s="7" t="s">
        <v>3440</v>
      </c>
      <c r="I10" s="7" t="s">
        <v>3948</v>
      </c>
      <c r="J10" s="7" t="s">
        <v>3426</v>
      </c>
      <c r="K10" s="7" t="s">
        <v>3980</v>
      </c>
      <c r="L10" s="11" t="str">
        <f>HYPERLINK("http://slimages.macys.com/is/image/MCY/11953123 ")</f>
        <v xml:space="preserve">http://slimages.macys.com/is/image/MCY/11953123 </v>
      </c>
    </row>
    <row r="11" spans="1:12" ht="39.950000000000003" customHeight="1" x14ac:dyDescent="0.25">
      <c r="A11" s="6" t="s">
        <v>2312</v>
      </c>
      <c r="B11" s="7" t="s">
        <v>2313</v>
      </c>
      <c r="C11" s="8">
        <v>1</v>
      </c>
      <c r="D11" s="9">
        <v>106.99</v>
      </c>
      <c r="E11" s="8" t="s">
        <v>2314</v>
      </c>
      <c r="F11" s="7" t="s">
        <v>3445</v>
      </c>
      <c r="G11" s="10"/>
      <c r="H11" s="7" t="s">
        <v>3432</v>
      </c>
      <c r="I11" s="7" t="s">
        <v>1690</v>
      </c>
      <c r="J11" s="7" t="s">
        <v>3426</v>
      </c>
      <c r="K11" s="7" t="s">
        <v>2315</v>
      </c>
      <c r="L11" s="11" t="str">
        <f>HYPERLINK("http://slimages.macys.com/is/image/MCY/15198981 ")</f>
        <v xml:space="preserve">http://slimages.macys.com/is/image/MCY/15198981 </v>
      </c>
    </row>
    <row r="12" spans="1:12" ht="39.950000000000003" customHeight="1" x14ac:dyDescent="0.25">
      <c r="A12" s="6" t="s">
        <v>2316</v>
      </c>
      <c r="B12" s="7" t="s">
        <v>2317</v>
      </c>
      <c r="C12" s="8">
        <v>1</v>
      </c>
      <c r="D12" s="9">
        <v>126.99</v>
      </c>
      <c r="E12" s="8" t="s">
        <v>2318</v>
      </c>
      <c r="F12" s="7" t="s">
        <v>3286</v>
      </c>
      <c r="G12" s="10"/>
      <c r="H12" s="7" t="s">
        <v>3478</v>
      </c>
      <c r="I12" s="7" t="s">
        <v>3553</v>
      </c>
      <c r="J12" s="7" t="s">
        <v>3426</v>
      </c>
      <c r="K12" s="7" t="s">
        <v>3518</v>
      </c>
      <c r="L12" s="11" t="str">
        <f>HYPERLINK("http://slimages.macys.com/is/image/MCY/16483008 ")</f>
        <v xml:space="preserve">http://slimages.macys.com/is/image/MCY/16483008 </v>
      </c>
    </row>
    <row r="13" spans="1:12" ht="39.950000000000003" customHeight="1" x14ac:dyDescent="0.25">
      <c r="A13" s="6" t="s">
        <v>2319</v>
      </c>
      <c r="B13" s="7" t="s">
        <v>2320</v>
      </c>
      <c r="C13" s="8">
        <v>1</v>
      </c>
      <c r="D13" s="9">
        <v>99.99</v>
      </c>
      <c r="E13" s="8" t="s">
        <v>2321</v>
      </c>
      <c r="F13" s="7" t="s">
        <v>4047</v>
      </c>
      <c r="G13" s="10" t="s">
        <v>3893</v>
      </c>
      <c r="H13" s="7" t="s">
        <v>3688</v>
      </c>
      <c r="I13" s="7" t="s">
        <v>3871</v>
      </c>
      <c r="J13" s="7" t="s">
        <v>3426</v>
      </c>
      <c r="K13" s="7" t="s">
        <v>3811</v>
      </c>
      <c r="L13" s="11" t="str">
        <f>HYPERLINK("http://slimages.macys.com/is/image/MCY/14737560 ")</f>
        <v xml:space="preserve">http://slimages.macys.com/is/image/MCY/14737560 </v>
      </c>
    </row>
    <row r="14" spans="1:12" ht="39.950000000000003" customHeight="1" x14ac:dyDescent="0.25">
      <c r="A14" s="6" t="s">
        <v>2322</v>
      </c>
      <c r="B14" s="7" t="s">
        <v>2323</v>
      </c>
      <c r="C14" s="8">
        <v>1</v>
      </c>
      <c r="D14" s="9">
        <v>99.99</v>
      </c>
      <c r="E14" s="8">
        <v>81358</v>
      </c>
      <c r="F14" s="7" t="s">
        <v>3755</v>
      </c>
      <c r="G14" s="10"/>
      <c r="H14" s="7" t="s">
        <v>3478</v>
      </c>
      <c r="I14" s="7" t="s">
        <v>3479</v>
      </c>
      <c r="J14" s="7" t="s">
        <v>3426</v>
      </c>
      <c r="K14" s="7" t="s">
        <v>2324</v>
      </c>
      <c r="L14" s="11" t="str">
        <f>HYPERLINK("http://slimages.macys.com/is/image/MCY/15003309 ")</f>
        <v xml:space="preserve">http://slimages.macys.com/is/image/MCY/15003309 </v>
      </c>
    </row>
    <row r="15" spans="1:12" ht="39.950000000000003" customHeight="1" x14ac:dyDescent="0.25">
      <c r="A15" s="6" t="s">
        <v>2475</v>
      </c>
      <c r="B15" s="7" t="s">
        <v>2476</v>
      </c>
      <c r="C15" s="8">
        <v>1</v>
      </c>
      <c r="D15" s="9">
        <v>99.99</v>
      </c>
      <c r="E15" s="8" t="s">
        <v>2477</v>
      </c>
      <c r="F15" s="7" t="s">
        <v>3431</v>
      </c>
      <c r="G15" s="10"/>
      <c r="H15" s="7" t="s">
        <v>3572</v>
      </c>
      <c r="I15" s="7" t="s">
        <v>2478</v>
      </c>
      <c r="J15" s="7" t="s">
        <v>3426</v>
      </c>
      <c r="K15" s="7"/>
      <c r="L15" s="11" t="str">
        <f>HYPERLINK("http://slimages.macys.com/is/image/MCY/16334131 ")</f>
        <v xml:space="preserve">http://slimages.macys.com/is/image/MCY/16334131 </v>
      </c>
    </row>
    <row r="16" spans="1:12" ht="39.950000000000003" customHeight="1" x14ac:dyDescent="0.25">
      <c r="A16" s="6" t="s">
        <v>2202</v>
      </c>
      <c r="B16" s="7" t="s">
        <v>2203</v>
      </c>
      <c r="C16" s="8">
        <v>1</v>
      </c>
      <c r="D16" s="9">
        <v>49.99</v>
      </c>
      <c r="E16" s="8">
        <v>4403</v>
      </c>
      <c r="F16" s="7" t="s">
        <v>3445</v>
      </c>
      <c r="G16" s="10" t="s">
        <v>3439</v>
      </c>
      <c r="H16" s="7" t="s">
        <v>2471</v>
      </c>
      <c r="I16" s="7" t="s">
        <v>2575</v>
      </c>
      <c r="J16" s="7" t="s">
        <v>3426</v>
      </c>
      <c r="K16" s="7" t="s">
        <v>2204</v>
      </c>
      <c r="L16" s="11" t="str">
        <f>HYPERLINK("http://slimages.macys.com/is/image/MCY/9873929 ")</f>
        <v xml:space="preserve">http://slimages.macys.com/is/image/MCY/9873929 </v>
      </c>
    </row>
    <row r="17" spans="1:12" ht="39.950000000000003" customHeight="1" x14ac:dyDescent="0.25">
      <c r="A17" s="6" t="s">
        <v>2325</v>
      </c>
      <c r="B17" s="7" t="s">
        <v>2326</v>
      </c>
      <c r="C17" s="8">
        <v>1</v>
      </c>
      <c r="D17" s="9">
        <v>58.8</v>
      </c>
      <c r="E17" s="8" t="s">
        <v>2327</v>
      </c>
      <c r="F17" s="7" t="s">
        <v>4167</v>
      </c>
      <c r="G17" s="10"/>
      <c r="H17" s="7" t="s">
        <v>3478</v>
      </c>
      <c r="I17" s="7" t="s">
        <v>3553</v>
      </c>
      <c r="J17" s="7"/>
      <c r="K17" s="7"/>
      <c r="L17" s="11" t="str">
        <f>HYPERLINK("http://slimages.macys.com/is/image/MCY/17564148 ")</f>
        <v xml:space="preserve">http://slimages.macys.com/is/image/MCY/17564148 </v>
      </c>
    </row>
    <row r="18" spans="1:12" ht="39.950000000000003" customHeight="1" x14ac:dyDescent="0.25">
      <c r="A18" s="6" t="s">
        <v>2328</v>
      </c>
      <c r="B18" s="7" t="s">
        <v>2329</v>
      </c>
      <c r="C18" s="8">
        <v>1</v>
      </c>
      <c r="D18" s="9">
        <v>83.99</v>
      </c>
      <c r="E18" s="8" t="s">
        <v>2330</v>
      </c>
      <c r="F18" s="7" t="s">
        <v>3463</v>
      </c>
      <c r="G18" s="10"/>
      <c r="H18" s="7" t="s">
        <v>3478</v>
      </c>
      <c r="I18" s="7" t="s">
        <v>2969</v>
      </c>
      <c r="J18" s="7" t="s">
        <v>3426</v>
      </c>
      <c r="K18" s="7" t="s">
        <v>3096</v>
      </c>
      <c r="L18" s="11" t="str">
        <f>HYPERLINK("http://slimages.macys.com/is/image/MCY/14516483 ")</f>
        <v xml:space="preserve">http://slimages.macys.com/is/image/MCY/14516483 </v>
      </c>
    </row>
    <row r="19" spans="1:12" ht="39.950000000000003" customHeight="1" x14ac:dyDescent="0.25">
      <c r="A19" s="6" t="s">
        <v>2331</v>
      </c>
      <c r="B19" s="7" t="s">
        <v>2332</v>
      </c>
      <c r="C19" s="8">
        <v>1</v>
      </c>
      <c r="D19" s="9">
        <v>44.99</v>
      </c>
      <c r="E19" s="8">
        <v>4402</v>
      </c>
      <c r="F19" s="7" t="s">
        <v>3445</v>
      </c>
      <c r="G19" s="10"/>
      <c r="H19" s="7" t="s">
        <v>2471</v>
      </c>
      <c r="I19" s="7" t="s">
        <v>2575</v>
      </c>
      <c r="J19" s="7" t="s">
        <v>3426</v>
      </c>
      <c r="K19" s="7"/>
      <c r="L19" s="11" t="str">
        <f>HYPERLINK("http://slimages.macys.com/is/image/MCY/9873929 ")</f>
        <v xml:space="preserve">http://slimages.macys.com/is/image/MCY/9873929 </v>
      </c>
    </row>
    <row r="20" spans="1:12" ht="39.950000000000003" customHeight="1" x14ac:dyDescent="0.25">
      <c r="A20" s="6" t="s">
        <v>2333</v>
      </c>
      <c r="B20" s="7" t="s">
        <v>2334</v>
      </c>
      <c r="C20" s="8">
        <v>1</v>
      </c>
      <c r="D20" s="9">
        <v>49.99</v>
      </c>
      <c r="E20" s="8">
        <v>21418338</v>
      </c>
      <c r="F20" s="7" t="s">
        <v>3431</v>
      </c>
      <c r="G20" s="10"/>
      <c r="H20" s="7" t="s">
        <v>3542</v>
      </c>
      <c r="I20" s="7" t="s">
        <v>3517</v>
      </c>
      <c r="J20" s="7" t="s">
        <v>3426</v>
      </c>
      <c r="K20" s="7"/>
      <c r="L20" s="11" t="str">
        <f>HYPERLINK("http://slimages.macys.com/is/image/MCY/15103695 ")</f>
        <v xml:space="preserve">http://slimages.macys.com/is/image/MCY/15103695 </v>
      </c>
    </row>
    <row r="21" spans="1:12" ht="39.950000000000003" customHeight="1" x14ac:dyDescent="0.25">
      <c r="A21" s="6" t="s">
        <v>2335</v>
      </c>
      <c r="B21" s="7" t="s">
        <v>2336</v>
      </c>
      <c r="C21" s="8">
        <v>1</v>
      </c>
      <c r="D21" s="9">
        <v>89.99</v>
      </c>
      <c r="E21" s="8" t="s">
        <v>2337</v>
      </c>
      <c r="F21" s="7" t="s">
        <v>4304</v>
      </c>
      <c r="G21" s="10"/>
      <c r="H21" s="7" t="s">
        <v>3467</v>
      </c>
      <c r="I21" s="7" t="s">
        <v>4333</v>
      </c>
      <c r="J21" s="7"/>
      <c r="K21" s="7"/>
      <c r="L21" s="11" t="str">
        <f>HYPERLINK("http://slimages.macys.com/is/image/MCY/16903195 ")</f>
        <v xml:space="preserve">http://slimages.macys.com/is/image/MCY/16903195 </v>
      </c>
    </row>
    <row r="22" spans="1:12" ht="39.950000000000003" customHeight="1" x14ac:dyDescent="0.25">
      <c r="A22" s="6" t="s">
        <v>2338</v>
      </c>
      <c r="B22" s="7" t="s">
        <v>2339</v>
      </c>
      <c r="C22" s="8">
        <v>1</v>
      </c>
      <c r="D22" s="9">
        <v>59.99</v>
      </c>
      <c r="E22" s="8" t="s">
        <v>2340</v>
      </c>
      <c r="F22" s="7" t="s">
        <v>3484</v>
      </c>
      <c r="G22" s="10"/>
      <c r="H22" s="7" t="s">
        <v>3542</v>
      </c>
      <c r="I22" s="7" t="s">
        <v>4234</v>
      </c>
      <c r="J22" s="7" t="s">
        <v>3426</v>
      </c>
      <c r="K22" s="7" t="s">
        <v>3447</v>
      </c>
      <c r="L22" s="11" t="str">
        <f>HYPERLINK("http://slimages.macys.com/is/image/MCY/13036438 ")</f>
        <v xml:space="preserve">http://slimages.macys.com/is/image/MCY/13036438 </v>
      </c>
    </row>
    <row r="23" spans="1:12" ht="39.950000000000003" customHeight="1" x14ac:dyDescent="0.25">
      <c r="A23" s="6" t="s">
        <v>2341</v>
      </c>
      <c r="B23" s="7" t="s">
        <v>2342</v>
      </c>
      <c r="C23" s="8">
        <v>2</v>
      </c>
      <c r="D23" s="9">
        <v>139.97999999999999</v>
      </c>
      <c r="E23" s="8" t="s">
        <v>2343</v>
      </c>
      <c r="F23" s="7" t="s">
        <v>3720</v>
      </c>
      <c r="G23" s="10"/>
      <c r="H23" s="7" t="s">
        <v>3458</v>
      </c>
      <c r="I23" s="7" t="s">
        <v>3459</v>
      </c>
      <c r="J23" s="7" t="s">
        <v>3426</v>
      </c>
      <c r="K23" s="7" t="s">
        <v>3485</v>
      </c>
      <c r="L23" s="11" t="str">
        <f>HYPERLINK("http://slimages.macys.com/is/image/MCY/8433239 ")</f>
        <v xml:space="preserve">http://slimages.macys.com/is/image/MCY/8433239 </v>
      </c>
    </row>
    <row r="24" spans="1:12" ht="39.950000000000003" customHeight="1" x14ac:dyDescent="0.25">
      <c r="A24" s="6" t="s">
        <v>2344</v>
      </c>
      <c r="B24" s="7" t="s">
        <v>2345</v>
      </c>
      <c r="C24" s="8">
        <v>1</v>
      </c>
      <c r="D24" s="9">
        <v>79.989999999999995</v>
      </c>
      <c r="E24" s="8" t="s">
        <v>2346</v>
      </c>
      <c r="F24" s="7" t="s">
        <v>3892</v>
      </c>
      <c r="G24" s="10"/>
      <c r="H24" s="7" t="s">
        <v>3452</v>
      </c>
      <c r="I24" s="7" t="s">
        <v>3834</v>
      </c>
      <c r="J24" s="7"/>
      <c r="K24" s="7"/>
      <c r="L24" s="11" t="str">
        <f>HYPERLINK("http://slimages.macys.com/is/image/MCY/17997257 ")</f>
        <v xml:space="preserve">http://slimages.macys.com/is/image/MCY/17997257 </v>
      </c>
    </row>
    <row r="25" spans="1:12" ht="39.950000000000003" customHeight="1" x14ac:dyDescent="0.25">
      <c r="A25" s="6" t="s">
        <v>2347</v>
      </c>
      <c r="B25" s="7" t="s">
        <v>2348</v>
      </c>
      <c r="C25" s="8">
        <v>1</v>
      </c>
      <c r="D25" s="9">
        <v>69.989999999999995</v>
      </c>
      <c r="E25" s="8" t="s">
        <v>2349</v>
      </c>
      <c r="F25" s="7" t="s">
        <v>3445</v>
      </c>
      <c r="G25" s="10"/>
      <c r="H25" s="7" t="s">
        <v>3452</v>
      </c>
      <c r="I25" s="7" t="s">
        <v>3834</v>
      </c>
      <c r="J25" s="7" t="s">
        <v>3426</v>
      </c>
      <c r="K25" s="7" t="s">
        <v>3556</v>
      </c>
      <c r="L25" s="11" t="str">
        <f>HYPERLINK("http://slimages.macys.com/is/image/MCY/17754899 ")</f>
        <v xml:space="preserve">http://slimages.macys.com/is/image/MCY/17754899 </v>
      </c>
    </row>
    <row r="26" spans="1:12" ht="39.950000000000003" customHeight="1" x14ac:dyDescent="0.25">
      <c r="A26" s="6" t="s">
        <v>2350</v>
      </c>
      <c r="B26" s="7" t="s">
        <v>2351</v>
      </c>
      <c r="C26" s="8">
        <v>1</v>
      </c>
      <c r="D26" s="9">
        <v>49.99</v>
      </c>
      <c r="E26" s="8" t="s">
        <v>2352</v>
      </c>
      <c r="F26" s="7" t="s">
        <v>3541</v>
      </c>
      <c r="G26" s="10"/>
      <c r="H26" s="7" t="s">
        <v>3542</v>
      </c>
      <c r="I26" s="7" t="s">
        <v>4234</v>
      </c>
      <c r="J26" s="7"/>
      <c r="K26" s="7"/>
      <c r="L26" s="11" t="str">
        <f>HYPERLINK("http://slimages.macys.com/is/image/MCY/17968749 ")</f>
        <v xml:space="preserve">http://slimages.macys.com/is/image/MCY/17968749 </v>
      </c>
    </row>
    <row r="27" spans="1:12" ht="39.950000000000003" customHeight="1" x14ac:dyDescent="0.25">
      <c r="A27" s="6" t="s">
        <v>2353</v>
      </c>
      <c r="B27" s="7" t="s">
        <v>2354</v>
      </c>
      <c r="C27" s="8">
        <v>1</v>
      </c>
      <c r="D27" s="9">
        <v>49.99</v>
      </c>
      <c r="E27" s="8" t="s">
        <v>2355</v>
      </c>
      <c r="F27" s="7" t="s">
        <v>3496</v>
      </c>
      <c r="G27" s="10"/>
      <c r="H27" s="7" t="s">
        <v>3478</v>
      </c>
      <c r="I27" s="7" t="s">
        <v>3517</v>
      </c>
      <c r="J27" s="7" t="s">
        <v>3426</v>
      </c>
      <c r="K27" s="7" t="s">
        <v>3518</v>
      </c>
      <c r="L27" s="11" t="str">
        <f>HYPERLINK("http://slimages.macys.com/is/image/MCY/8347198 ")</f>
        <v xml:space="preserve">http://slimages.macys.com/is/image/MCY/8347198 </v>
      </c>
    </row>
    <row r="28" spans="1:12" ht="39.950000000000003" customHeight="1" x14ac:dyDescent="0.25">
      <c r="A28" s="6" t="s">
        <v>2356</v>
      </c>
      <c r="B28" s="7" t="s">
        <v>2357</v>
      </c>
      <c r="C28" s="8">
        <v>1</v>
      </c>
      <c r="D28" s="9">
        <v>46.99</v>
      </c>
      <c r="E28" s="8" t="s">
        <v>2358</v>
      </c>
      <c r="F28" s="7"/>
      <c r="G28" s="10"/>
      <c r="H28" s="7" t="s">
        <v>3478</v>
      </c>
      <c r="I28" s="7" t="s">
        <v>2572</v>
      </c>
      <c r="J28" s="7" t="s">
        <v>3426</v>
      </c>
      <c r="K28" s="7" t="s">
        <v>3518</v>
      </c>
      <c r="L28" s="11" t="str">
        <f>HYPERLINK("http://slimages.macys.com/is/image/MCY/15421136 ")</f>
        <v xml:space="preserve">http://slimages.macys.com/is/image/MCY/15421136 </v>
      </c>
    </row>
    <row r="29" spans="1:12" ht="39.950000000000003" customHeight="1" x14ac:dyDescent="0.25">
      <c r="A29" s="6" t="s">
        <v>2359</v>
      </c>
      <c r="B29" s="7" t="s">
        <v>2360</v>
      </c>
      <c r="C29" s="8">
        <v>1</v>
      </c>
      <c r="D29" s="9">
        <v>38.99</v>
      </c>
      <c r="E29" s="8" t="s">
        <v>2361</v>
      </c>
      <c r="F29" s="7" t="s">
        <v>4096</v>
      </c>
      <c r="G29" s="10"/>
      <c r="H29" s="7" t="s">
        <v>3490</v>
      </c>
      <c r="I29" s="7" t="s">
        <v>3553</v>
      </c>
      <c r="J29" s="7" t="s">
        <v>3426</v>
      </c>
      <c r="K29" s="7"/>
      <c r="L29" s="11" t="str">
        <f>HYPERLINK("http://slimages.macys.com/is/image/MCY/9912812 ")</f>
        <v xml:space="preserve">http://slimages.macys.com/is/image/MCY/9912812 </v>
      </c>
    </row>
    <row r="30" spans="1:12" ht="39.950000000000003" customHeight="1" x14ac:dyDescent="0.25">
      <c r="A30" s="6" t="s">
        <v>2362</v>
      </c>
      <c r="B30" s="7" t="s">
        <v>2363</v>
      </c>
      <c r="C30" s="8">
        <v>1</v>
      </c>
      <c r="D30" s="9">
        <v>49.99</v>
      </c>
      <c r="E30" s="8" t="s">
        <v>2364</v>
      </c>
      <c r="F30" s="7" t="s">
        <v>3535</v>
      </c>
      <c r="G30" s="10"/>
      <c r="H30" s="7" t="s">
        <v>3490</v>
      </c>
      <c r="I30" s="7" t="s">
        <v>4001</v>
      </c>
      <c r="J30" s="7" t="s">
        <v>3426</v>
      </c>
      <c r="K30" s="7" t="s">
        <v>3518</v>
      </c>
      <c r="L30" s="11" t="str">
        <f>HYPERLINK("http://slimages.macys.com/is/image/MCY/15677508 ")</f>
        <v xml:space="preserve">http://slimages.macys.com/is/image/MCY/15677508 </v>
      </c>
    </row>
    <row r="31" spans="1:12" ht="39.950000000000003" customHeight="1" x14ac:dyDescent="0.25">
      <c r="A31" s="6" t="s">
        <v>2365</v>
      </c>
      <c r="B31" s="7" t="s">
        <v>2366</v>
      </c>
      <c r="C31" s="8">
        <v>1</v>
      </c>
      <c r="D31" s="9">
        <v>39.99</v>
      </c>
      <c r="E31" s="8" t="s">
        <v>2367</v>
      </c>
      <c r="F31" s="7" t="s">
        <v>3496</v>
      </c>
      <c r="G31" s="10"/>
      <c r="H31" s="7" t="s">
        <v>3432</v>
      </c>
      <c r="I31" s="7" t="s">
        <v>4119</v>
      </c>
      <c r="J31" s="7"/>
      <c r="K31" s="7"/>
      <c r="L31" s="11" t="str">
        <f>HYPERLINK("http://slimages.macys.com/is/image/MCY/17754553 ")</f>
        <v xml:space="preserve">http://slimages.macys.com/is/image/MCY/17754553 </v>
      </c>
    </row>
    <row r="32" spans="1:12" ht="39.950000000000003" customHeight="1" x14ac:dyDescent="0.25">
      <c r="A32" s="6" t="s">
        <v>2368</v>
      </c>
      <c r="B32" s="7" t="s">
        <v>2369</v>
      </c>
      <c r="C32" s="8">
        <v>3</v>
      </c>
      <c r="D32" s="9">
        <v>104.97</v>
      </c>
      <c r="E32" s="8" t="s">
        <v>2370</v>
      </c>
      <c r="F32" s="7" t="s">
        <v>3477</v>
      </c>
      <c r="G32" s="10"/>
      <c r="H32" s="7" t="s">
        <v>3490</v>
      </c>
      <c r="I32" s="7" t="s">
        <v>3553</v>
      </c>
      <c r="J32" s="7" t="s">
        <v>3426</v>
      </c>
      <c r="K32" s="7" t="s">
        <v>3745</v>
      </c>
      <c r="L32" s="11" t="str">
        <f>HYPERLINK("http://slimages.macys.com/is/image/MCY/9602374 ")</f>
        <v xml:space="preserve">http://slimages.macys.com/is/image/MCY/9602374 </v>
      </c>
    </row>
    <row r="33" spans="1:12" ht="39.950000000000003" customHeight="1" x14ac:dyDescent="0.25">
      <c r="A33" s="6" t="s">
        <v>2371</v>
      </c>
      <c r="B33" s="7" t="s">
        <v>2372</v>
      </c>
      <c r="C33" s="8">
        <v>1</v>
      </c>
      <c r="D33" s="9">
        <v>27.99</v>
      </c>
      <c r="E33" s="8" t="s">
        <v>2373</v>
      </c>
      <c r="F33" s="7" t="s">
        <v>1988</v>
      </c>
      <c r="G33" s="10"/>
      <c r="H33" s="7" t="s">
        <v>3583</v>
      </c>
      <c r="I33" s="7" t="s">
        <v>3262</v>
      </c>
      <c r="J33" s="7"/>
      <c r="K33" s="7"/>
      <c r="L33" s="11" t="str">
        <f>HYPERLINK("http://slimages.macys.com/is/image/MCY/16758345 ")</f>
        <v xml:space="preserve">http://slimages.macys.com/is/image/MCY/16758345 </v>
      </c>
    </row>
    <row r="34" spans="1:12" ht="39.950000000000003" customHeight="1" x14ac:dyDescent="0.25">
      <c r="A34" s="6" t="s">
        <v>2374</v>
      </c>
      <c r="B34" s="7" t="s">
        <v>2375</v>
      </c>
      <c r="C34" s="8">
        <v>1</v>
      </c>
      <c r="D34" s="9">
        <v>26.99</v>
      </c>
      <c r="E34" s="8" t="s">
        <v>2376</v>
      </c>
      <c r="F34" s="7" t="s">
        <v>3477</v>
      </c>
      <c r="G34" s="10" t="s">
        <v>3512</v>
      </c>
      <c r="H34" s="7" t="s">
        <v>3490</v>
      </c>
      <c r="I34" s="7" t="s">
        <v>3553</v>
      </c>
      <c r="J34" s="7" t="s">
        <v>3426</v>
      </c>
      <c r="K34" s="7" t="s">
        <v>2377</v>
      </c>
      <c r="L34" s="11" t="str">
        <f>HYPERLINK("http://slimages.macys.com/is/image/MCY/9613901 ")</f>
        <v xml:space="preserve">http://slimages.macys.com/is/image/MCY/9613901 </v>
      </c>
    </row>
    <row r="35" spans="1:12" ht="39.950000000000003" customHeight="1" x14ac:dyDescent="0.25">
      <c r="A35" s="6" t="s">
        <v>2378</v>
      </c>
      <c r="B35" s="7" t="s">
        <v>2379</v>
      </c>
      <c r="C35" s="8">
        <v>1</v>
      </c>
      <c r="D35" s="9">
        <v>25.99</v>
      </c>
      <c r="E35" s="8" t="s">
        <v>2380</v>
      </c>
      <c r="F35" s="7" t="s">
        <v>3504</v>
      </c>
      <c r="G35" s="10"/>
      <c r="H35" s="7" t="s">
        <v>3542</v>
      </c>
      <c r="I35" s="7" t="s">
        <v>2268</v>
      </c>
      <c r="J35" s="7" t="s">
        <v>3426</v>
      </c>
      <c r="K35" s="7" t="s">
        <v>3518</v>
      </c>
      <c r="L35" s="11" t="str">
        <f>HYPERLINK("http://slimages.macys.com/is/image/MCY/11779265 ")</f>
        <v xml:space="preserve">http://slimages.macys.com/is/image/MCY/11779265 </v>
      </c>
    </row>
    <row r="36" spans="1:12" ht="39.950000000000003" customHeight="1" x14ac:dyDescent="0.25">
      <c r="A36" s="6" t="s">
        <v>2542</v>
      </c>
      <c r="B36" s="7" t="s">
        <v>2543</v>
      </c>
      <c r="C36" s="8">
        <v>1</v>
      </c>
      <c r="D36" s="9">
        <v>24.99</v>
      </c>
      <c r="E36" s="8">
        <v>1008967300</v>
      </c>
      <c r="F36" s="7" t="s">
        <v>3463</v>
      </c>
      <c r="G36" s="10"/>
      <c r="H36" s="7" t="s">
        <v>3654</v>
      </c>
      <c r="I36" s="7" t="s">
        <v>2544</v>
      </c>
      <c r="J36" s="7" t="s">
        <v>3426</v>
      </c>
      <c r="K36" s="7" t="s">
        <v>2545</v>
      </c>
      <c r="L36" s="11" t="str">
        <f>HYPERLINK("http://slimages.macys.com/is/image/MCY/15300934 ")</f>
        <v xml:space="preserve">http://slimages.macys.com/is/image/MCY/15300934 </v>
      </c>
    </row>
    <row r="37" spans="1:12" ht="39.950000000000003" customHeight="1" x14ac:dyDescent="0.25">
      <c r="A37" s="6" t="s">
        <v>2381</v>
      </c>
      <c r="B37" s="7" t="s">
        <v>2382</v>
      </c>
      <c r="C37" s="8">
        <v>2</v>
      </c>
      <c r="D37" s="9">
        <v>59.86</v>
      </c>
      <c r="E37" s="8" t="s">
        <v>2383</v>
      </c>
      <c r="F37" s="7" t="s">
        <v>3445</v>
      </c>
      <c r="G37" s="10"/>
      <c r="H37" s="7" t="s">
        <v>3525</v>
      </c>
      <c r="I37" s="7" t="s">
        <v>3704</v>
      </c>
      <c r="J37" s="7" t="s">
        <v>3613</v>
      </c>
      <c r="K37" s="7" t="s">
        <v>2384</v>
      </c>
      <c r="L37" s="11" t="str">
        <f>HYPERLINK("http://slimages.macys.com/is/image/MCY/15780865 ")</f>
        <v xml:space="preserve">http://slimages.macys.com/is/image/MCY/15780865 </v>
      </c>
    </row>
    <row r="38" spans="1:12" ht="39.950000000000003" customHeight="1" x14ac:dyDescent="0.25">
      <c r="A38" s="6" t="s">
        <v>3161</v>
      </c>
      <c r="B38" s="7" t="s">
        <v>3162</v>
      </c>
      <c r="C38" s="8">
        <v>1</v>
      </c>
      <c r="D38" s="9">
        <v>29.99</v>
      </c>
      <c r="E38" s="8" t="s">
        <v>3163</v>
      </c>
      <c r="F38" s="7" t="s">
        <v>3610</v>
      </c>
      <c r="G38" s="10" t="s">
        <v>3773</v>
      </c>
      <c r="H38" s="7" t="s">
        <v>3525</v>
      </c>
      <c r="I38" s="7" t="s">
        <v>3612</v>
      </c>
      <c r="J38" s="7" t="s">
        <v>3613</v>
      </c>
      <c r="K38" s="7"/>
      <c r="L38" s="11" t="str">
        <f>HYPERLINK("http://slimages.macys.com/is/image/MCY/9526176 ")</f>
        <v xml:space="preserve">http://slimages.macys.com/is/image/MCY/9526176 </v>
      </c>
    </row>
    <row r="39" spans="1:12" ht="39.950000000000003" customHeight="1" x14ac:dyDescent="0.25">
      <c r="A39" s="6" t="s">
        <v>2385</v>
      </c>
      <c r="B39" s="7" t="s">
        <v>2386</v>
      </c>
      <c r="C39" s="8">
        <v>1</v>
      </c>
      <c r="D39" s="9">
        <v>34.99</v>
      </c>
      <c r="E39" s="8" t="s">
        <v>3605</v>
      </c>
      <c r="F39" s="7" t="s">
        <v>3511</v>
      </c>
      <c r="G39" s="10"/>
      <c r="H39" s="7" t="s">
        <v>3452</v>
      </c>
      <c r="I39" s="7" t="s">
        <v>3606</v>
      </c>
      <c r="J39" s="7" t="s">
        <v>3426</v>
      </c>
      <c r="K39" s="7" t="s">
        <v>3518</v>
      </c>
      <c r="L39" s="11" t="str">
        <f>HYPERLINK("http://slimages.macys.com/is/image/MCY/14601403 ")</f>
        <v xml:space="preserve">http://slimages.macys.com/is/image/MCY/14601403 </v>
      </c>
    </row>
    <row r="40" spans="1:12" ht="39.950000000000003" customHeight="1" x14ac:dyDescent="0.25">
      <c r="A40" s="6" t="s">
        <v>3826</v>
      </c>
      <c r="B40" s="7" t="s">
        <v>3827</v>
      </c>
      <c r="C40" s="8">
        <v>2</v>
      </c>
      <c r="D40" s="9">
        <v>37.979999999999997</v>
      </c>
      <c r="E40" s="8" t="s">
        <v>3828</v>
      </c>
      <c r="F40" s="7" t="s">
        <v>3674</v>
      </c>
      <c r="G40" s="10"/>
      <c r="H40" s="7" t="s">
        <v>3542</v>
      </c>
      <c r="I40" s="7" t="s">
        <v>3829</v>
      </c>
      <c r="J40" s="7" t="s">
        <v>3426</v>
      </c>
      <c r="K40" s="7" t="s">
        <v>3518</v>
      </c>
      <c r="L40" s="11" t="str">
        <f>HYPERLINK("http://slimages.macys.com/is/image/MCY/3162549 ")</f>
        <v xml:space="preserve">http://slimages.macys.com/is/image/MCY/3162549 </v>
      </c>
    </row>
    <row r="41" spans="1:12" ht="39.950000000000003" customHeight="1" x14ac:dyDescent="0.25">
      <c r="A41" s="6" t="s">
        <v>2569</v>
      </c>
      <c r="B41" s="7" t="s">
        <v>2570</v>
      </c>
      <c r="C41" s="8">
        <v>1</v>
      </c>
      <c r="D41" s="9">
        <v>19.989999999999998</v>
      </c>
      <c r="E41" s="8" t="s">
        <v>2571</v>
      </c>
      <c r="F41" s="7"/>
      <c r="G41" s="10"/>
      <c r="H41" s="7" t="s">
        <v>3478</v>
      </c>
      <c r="I41" s="7" t="s">
        <v>2572</v>
      </c>
      <c r="J41" s="7" t="s">
        <v>3426</v>
      </c>
      <c r="K41" s="7" t="s">
        <v>3518</v>
      </c>
      <c r="L41" s="11" t="str">
        <f>HYPERLINK("http://slimages.macys.com/is/image/MCY/15575450 ")</f>
        <v xml:space="preserve">http://slimages.macys.com/is/image/MCY/15575450 </v>
      </c>
    </row>
    <row r="42" spans="1:12" ht="39.950000000000003" customHeight="1" x14ac:dyDescent="0.25">
      <c r="A42" s="6" t="s">
        <v>2387</v>
      </c>
      <c r="B42" s="7" t="s">
        <v>2388</v>
      </c>
      <c r="C42" s="8">
        <v>1</v>
      </c>
      <c r="D42" s="9">
        <v>29.99</v>
      </c>
      <c r="E42" s="8" t="s">
        <v>2389</v>
      </c>
      <c r="F42" s="7" t="s">
        <v>3755</v>
      </c>
      <c r="G42" s="10"/>
      <c r="H42" s="7" t="s">
        <v>3458</v>
      </c>
      <c r="I42" s="7" t="s">
        <v>3459</v>
      </c>
      <c r="J42" s="7" t="s">
        <v>3426</v>
      </c>
      <c r="K42" s="7"/>
      <c r="L42" s="11" t="str">
        <f>HYPERLINK("http://slimages.macys.com/is/image/MCY/8614362 ")</f>
        <v xml:space="preserve">http://slimages.macys.com/is/image/MCY/8614362 </v>
      </c>
    </row>
    <row r="43" spans="1:12" ht="39.950000000000003" customHeight="1" x14ac:dyDescent="0.25">
      <c r="A43" s="6" t="s">
        <v>4009</v>
      </c>
      <c r="B43" s="7" t="s">
        <v>4010</v>
      </c>
      <c r="C43" s="8">
        <v>1</v>
      </c>
      <c r="D43" s="9">
        <v>14.99</v>
      </c>
      <c r="E43" s="8" t="s">
        <v>4011</v>
      </c>
      <c r="F43" s="7" t="s">
        <v>3463</v>
      </c>
      <c r="G43" s="10" t="s">
        <v>4007</v>
      </c>
      <c r="H43" s="7" t="s">
        <v>3490</v>
      </c>
      <c r="I43" s="7" t="s">
        <v>4008</v>
      </c>
      <c r="J43" s="7"/>
      <c r="K43" s="7"/>
      <c r="L43" s="11" t="str">
        <f>HYPERLINK("http://slimages.macys.com/is/image/MCY/17620637 ")</f>
        <v xml:space="preserve">http://slimages.macys.com/is/image/MCY/17620637 </v>
      </c>
    </row>
    <row r="44" spans="1:12" ht="39.950000000000003" customHeight="1" x14ac:dyDescent="0.25">
      <c r="A44" s="6" t="s">
        <v>2390</v>
      </c>
      <c r="B44" s="7" t="s">
        <v>2391</v>
      </c>
      <c r="C44" s="8">
        <v>1</v>
      </c>
      <c r="D44" s="9">
        <v>19.989999999999998</v>
      </c>
      <c r="E44" s="8" t="s">
        <v>2392</v>
      </c>
      <c r="F44" s="7" t="s">
        <v>3463</v>
      </c>
      <c r="G44" s="10"/>
      <c r="H44" s="7" t="s">
        <v>3583</v>
      </c>
      <c r="I44" s="7" t="s">
        <v>3553</v>
      </c>
      <c r="J44" s="7" t="s">
        <v>3613</v>
      </c>
      <c r="K44" s="7" t="s">
        <v>2393</v>
      </c>
      <c r="L44" s="11" t="str">
        <f>HYPERLINK("http://slimages.macys.com/is/image/MCY/10094890 ")</f>
        <v xml:space="preserve">http://slimages.macys.com/is/image/MCY/10094890 </v>
      </c>
    </row>
    <row r="45" spans="1:12" ht="39.950000000000003" customHeight="1" x14ac:dyDescent="0.25">
      <c r="A45" s="6" t="s">
        <v>2394</v>
      </c>
      <c r="B45" s="7" t="s">
        <v>2395</v>
      </c>
      <c r="C45" s="8">
        <v>1</v>
      </c>
      <c r="D45" s="9">
        <v>12.99</v>
      </c>
      <c r="E45" s="8" t="s">
        <v>2396</v>
      </c>
      <c r="F45" s="7" t="s">
        <v>3755</v>
      </c>
      <c r="G45" s="10"/>
      <c r="H45" s="7" t="s">
        <v>3583</v>
      </c>
      <c r="I45" s="7" t="s">
        <v>4113</v>
      </c>
      <c r="J45" s="7"/>
      <c r="K45" s="7"/>
      <c r="L45" s="11" t="str">
        <f>HYPERLINK("http://slimages.macys.com/is/image/MCY/16900752 ")</f>
        <v xml:space="preserve">http://slimages.macys.com/is/image/MCY/16900752 </v>
      </c>
    </row>
    <row r="46" spans="1:12" ht="39.950000000000003" customHeight="1" x14ac:dyDescent="0.25">
      <c r="A46" s="6" t="s">
        <v>2397</v>
      </c>
      <c r="B46" s="7" t="s">
        <v>2398</v>
      </c>
      <c r="C46" s="8">
        <v>1</v>
      </c>
      <c r="D46" s="9">
        <v>3.99</v>
      </c>
      <c r="E46" s="8" t="s">
        <v>2399</v>
      </c>
      <c r="F46" s="7" t="s">
        <v>3431</v>
      </c>
      <c r="G46" s="10" t="s">
        <v>4360</v>
      </c>
      <c r="H46" s="7" t="s">
        <v>3635</v>
      </c>
      <c r="I46" s="7" t="s">
        <v>3508</v>
      </c>
      <c r="J46" s="7" t="s">
        <v>3426</v>
      </c>
      <c r="K46" s="7" t="s">
        <v>3492</v>
      </c>
      <c r="L46" s="11" t="str">
        <f>HYPERLINK("http://slimages.macys.com/is/image/MCY/11926122 ")</f>
        <v xml:space="preserve">http://slimages.macys.com/is/image/MCY/11926122 </v>
      </c>
    </row>
    <row r="47" spans="1:12" ht="39.950000000000003" customHeight="1" x14ac:dyDescent="0.25">
      <c r="A47" s="6" t="s">
        <v>3667</v>
      </c>
      <c r="B47" s="7" t="s">
        <v>3668</v>
      </c>
      <c r="C47" s="8">
        <v>5</v>
      </c>
      <c r="D47" s="9">
        <v>200</v>
      </c>
      <c r="E47" s="8"/>
      <c r="F47" s="7" t="s">
        <v>3610</v>
      </c>
      <c r="G47" s="10" t="s">
        <v>3489</v>
      </c>
      <c r="H47" s="7" t="s">
        <v>3669</v>
      </c>
      <c r="I47" s="7" t="s">
        <v>3670</v>
      </c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2400</v>
      </c>
      <c r="B2" s="7" t="s">
        <v>2401</v>
      </c>
      <c r="C2" s="8">
        <v>1</v>
      </c>
      <c r="D2" s="9">
        <v>329.99</v>
      </c>
      <c r="E2" s="8" t="s">
        <v>2402</v>
      </c>
      <c r="F2" s="7" t="s">
        <v>3535</v>
      </c>
      <c r="G2" s="10"/>
      <c r="H2" s="7" t="s">
        <v>3490</v>
      </c>
      <c r="I2" s="7" t="s">
        <v>3491</v>
      </c>
      <c r="J2" s="7" t="s">
        <v>3426</v>
      </c>
      <c r="K2" s="7" t="s">
        <v>3492</v>
      </c>
      <c r="L2" s="11" t="str">
        <f>HYPERLINK("http://slimages.macys.com/is/image/MCY/14615666 ")</f>
        <v xml:space="preserve">http://slimages.macys.com/is/image/MCY/14615666 </v>
      </c>
    </row>
    <row r="3" spans="1:12" ht="39.950000000000003" customHeight="1" x14ac:dyDescent="0.25">
      <c r="A3" s="6" t="s">
        <v>2403</v>
      </c>
      <c r="B3" s="7" t="s">
        <v>2404</v>
      </c>
      <c r="C3" s="8">
        <v>1</v>
      </c>
      <c r="D3" s="9">
        <v>220</v>
      </c>
      <c r="E3" s="8">
        <v>18192322</v>
      </c>
      <c r="F3" s="7" t="s">
        <v>4167</v>
      </c>
      <c r="G3" s="10"/>
      <c r="H3" s="7" t="s">
        <v>3424</v>
      </c>
      <c r="I3" s="7" t="s">
        <v>2405</v>
      </c>
      <c r="J3" s="7" t="s">
        <v>3426</v>
      </c>
      <c r="K3" s="7" t="s">
        <v>2406</v>
      </c>
      <c r="L3" s="11" t="str">
        <f>HYPERLINK("http://slimages.macys.com/is/image/MCY/9965951 ")</f>
        <v xml:space="preserve">http://slimages.macys.com/is/image/MCY/9965951 </v>
      </c>
    </row>
    <row r="4" spans="1:12" ht="39.950000000000003" customHeight="1" x14ac:dyDescent="0.25">
      <c r="A4" s="6" t="s">
        <v>2407</v>
      </c>
      <c r="B4" s="7" t="s">
        <v>2408</v>
      </c>
      <c r="C4" s="8">
        <v>1</v>
      </c>
      <c r="D4" s="9">
        <v>249.99</v>
      </c>
      <c r="E4" s="8" t="s">
        <v>2409</v>
      </c>
      <c r="F4" s="7" t="s">
        <v>4167</v>
      </c>
      <c r="G4" s="10"/>
      <c r="H4" s="7" t="s">
        <v>3440</v>
      </c>
      <c r="I4" s="7" t="s">
        <v>3441</v>
      </c>
      <c r="J4" s="7"/>
      <c r="K4" s="7"/>
      <c r="L4" s="11" t="str">
        <f>HYPERLINK("http://slimages.macys.com/is/image/MCY/17629403 ")</f>
        <v xml:space="preserve">http://slimages.macys.com/is/image/MCY/17629403 </v>
      </c>
    </row>
    <row r="5" spans="1:12" ht="39.950000000000003" customHeight="1" x14ac:dyDescent="0.25">
      <c r="A5" s="6" t="s">
        <v>2603</v>
      </c>
      <c r="B5" s="7" t="s">
        <v>2604</v>
      </c>
      <c r="C5" s="8">
        <v>1</v>
      </c>
      <c r="D5" s="9">
        <v>199.99</v>
      </c>
      <c r="E5" s="8" t="s">
        <v>2605</v>
      </c>
      <c r="F5" s="7" t="s">
        <v>3445</v>
      </c>
      <c r="G5" s="10"/>
      <c r="H5" s="7" t="s">
        <v>3676</v>
      </c>
      <c r="I5" s="7" t="s">
        <v>3548</v>
      </c>
      <c r="J5" s="7" t="s">
        <v>3564</v>
      </c>
      <c r="K5" s="7" t="s">
        <v>3879</v>
      </c>
      <c r="L5" s="11" t="str">
        <f>HYPERLINK("http://slimages.macys.com/is/image/MCY/3962568 ")</f>
        <v xml:space="preserve">http://slimages.macys.com/is/image/MCY/3962568 </v>
      </c>
    </row>
    <row r="6" spans="1:12" ht="39.950000000000003" customHeight="1" x14ac:dyDescent="0.25">
      <c r="A6" s="6" t="s">
        <v>3348</v>
      </c>
      <c r="B6" s="7" t="s">
        <v>3349</v>
      </c>
      <c r="C6" s="8">
        <v>1</v>
      </c>
      <c r="D6" s="9">
        <v>179.99</v>
      </c>
      <c r="E6" s="8">
        <v>22326322</v>
      </c>
      <c r="F6" s="7" t="s">
        <v>3496</v>
      </c>
      <c r="G6" s="10"/>
      <c r="H6" s="7" t="s">
        <v>3478</v>
      </c>
      <c r="I6" s="7" t="s">
        <v>3517</v>
      </c>
      <c r="J6" s="7" t="s">
        <v>3426</v>
      </c>
      <c r="K6" s="7" t="s">
        <v>3811</v>
      </c>
      <c r="L6" s="11" t="str">
        <f>HYPERLINK("http://slimages.macys.com/is/image/MCY/16688602 ")</f>
        <v xml:space="preserve">http://slimages.macys.com/is/image/MCY/16688602 </v>
      </c>
    </row>
    <row r="7" spans="1:12" ht="39.950000000000003" customHeight="1" x14ac:dyDescent="0.25">
      <c r="A7" s="6" t="s">
        <v>2410</v>
      </c>
      <c r="B7" s="7" t="s">
        <v>2411</v>
      </c>
      <c r="C7" s="8">
        <v>1</v>
      </c>
      <c r="D7" s="9">
        <v>155.99</v>
      </c>
      <c r="E7" s="8" t="s">
        <v>2412</v>
      </c>
      <c r="F7" s="7" t="s">
        <v>3541</v>
      </c>
      <c r="G7" s="10"/>
      <c r="H7" s="7" t="s">
        <v>3490</v>
      </c>
      <c r="I7" s="7" t="s">
        <v>4411</v>
      </c>
      <c r="J7" s="7" t="s">
        <v>3426</v>
      </c>
      <c r="K7" s="7" t="s">
        <v>3492</v>
      </c>
      <c r="L7" s="11" t="str">
        <f>HYPERLINK("http://slimages.macys.com/is/image/MCY/11338841 ")</f>
        <v xml:space="preserve">http://slimages.macys.com/is/image/MCY/11338841 </v>
      </c>
    </row>
    <row r="8" spans="1:12" ht="39.950000000000003" customHeight="1" x14ac:dyDescent="0.25">
      <c r="A8" s="6" t="s">
        <v>2413</v>
      </c>
      <c r="B8" s="7" t="s">
        <v>2414</v>
      </c>
      <c r="C8" s="8">
        <v>1</v>
      </c>
      <c r="D8" s="9">
        <v>144.99</v>
      </c>
      <c r="E8" s="8" t="s">
        <v>2415</v>
      </c>
      <c r="F8" s="7" t="s">
        <v>3431</v>
      </c>
      <c r="G8" s="10" t="s">
        <v>3489</v>
      </c>
      <c r="H8" s="7" t="s">
        <v>3583</v>
      </c>
      <c r="I8" s="7" t="s">
        <v>2667</v>
      </c>
      <c r="J8" s="7" t="s">
        <v>3426</v>
      </c>
      <c r="K8" s="7" t="s">
        <v>2668</v>
      </c>
      <c r="L8" s="11" t="str">
        <f>HYPERLINK("http://slimages.macys.com/is/image/MCY/12419512 ")</f>
        <v xml:space="preserve">http://slimages.macys.com/is/image/MCY/12419512 </v>
      </c>
    </row>
    <row r="9" spans="1:12" ht="39.950000000000003" customHeight="1" x14ac:dyDescent="0.25">
      <c r="A9" s="6" t="s">
        <v>2416</v>
      </c>
      <c r="B9" s="7" t="s">
        <v>2417</v>
      </c>
      <c r="C9" s="8">
        <v>1</v>
      </c>
      <c r="D9" s="9">
        <v>118.99</v>
      </c>
      <c r="E9" s="8" t="s">
        <v>2418</v>
      </c>
      <c r="F9" s="7" t="s">
        <v>3431</v>
      </c>
      <c r="G9" s="10"/>
      <c r="H9" s="7" t="s">
        <v>3542</v>
      </c>
      <c r="I9" s="7" t="s">
        <v>4234</v>
      </c>
      <c r="J9" s="7" t="s">
        <v>3426</v>
      </c>
      <c r="K9" s="7"/>
      <c r="L9" s="11" t="str">
        <f>HYPERLINK("http://slimages.macys.com/is/image/MCY/8433154 ")</f>
        <v xml:space="preserve">http://slimages.macys.com/is/image/MCY/8433154 </v>
      </c>
    </row>
    <row r="10" spans="1:12" ht="39.950000000000003" customHeight="1" x14ac:dyDescent="0.25">
      <c r="A10" s="6" t="s">
        <v>2419</v>
      </c>
      <c r="B10" s="7" t="s">
        <v>2420</v>
      </c>
      <c r="C10" s="8">
        <v>1</v>
      </c>
      <c r="D10" s="9">
        <v>179.99</v>
      </c>
      <c r="E10" s="8" t="s">
        <v>2421</v>
      </c>
      <c r="F10" s="7" t="s">
        <v>3716</v>
      </c>
      <c r="G10" s="10"/>
      <c r="H10" s="7" t="s">
        <v>3440</v>
      </c>
      <c r="I10" s="7" t="s">
        <v>3441</v>
      </c>
      <c r="J10" s="7" t="s">
        <v>3426</v>
      </c>
      <c r="K10" s="7" t="s">
        <v>3931</v>
      </c>
      <c r="L10" s="11" t="str">
        <f>HYPERLINK("http://slimages.macys.com/is/image/MCY/12072113 ")</f>
        <v xml:space="preserve">http://slimages.macys.com/is/image/MCY/12072113 </v>
      </c>
    </row>
    <row r="11" spans="1:12" ht="39.950000000000003" customHeight="1" x14ac:dyDescent="0.25">
      <c r="A11" s="6" t="s">
        <v>2422</v>
      </c>
      <c r="B11" s="7" t="s">
        <v>2423</v>
      </c>
      <c r="C11" s="8">
        <v>1</v>
      </c>
      <c r="D11" s="9">
        <v>129.99</v>
      </c>
      <c r="E11" s="8" t="s">
        <v>2424</v>
      </c>
      <c r="F11" s="7" t="s">
        <v>4313</v>
      </c>
      <c r="G11" s="10"/>
      <c r="H11" s="7" t="s">
        <v>3695</v>
      </c>
      <c r="I11" s="7" t="s">
        <v>2614</v>
      </c>
      <c r="J11" s="7" t="s">
        <v>3426</v>
      </c>
      <c r="K11" s="7" t="s">
        <v>3794</v>
      </c>
      <c r="L11" s="11" t="str">
        <f>HYPERLINK("http://slimages.macys.com/is/image/MCY/3663823 ")</f>
        <v xml:space="preserve">http://slimages.macys.com/is/image/MCY/3663823 </v>
      </c>
    </row>
    <row r="12" spans="1:12" ht="39.950000000000003" customHeight="1" x14ac:dyDescent="0.25">
      <c r="A12" s="6" t="s">
        <v>2425</v>
      </c>
      <c r="B12" s="7" t="s">
        <v>2426</v>
      </c>
      <c r="C12" s="8">
        <v>1</v>
      </c>
      <c r="D12" s="9">
        <v>99.99</v>
      </c>
      <c r="E12" s="8" t="s">
        <v>2427</v>
      </c>
      <c r="F12" s="7" t="s">
        <v>3530</v>
      </c>
      <c r="G12" s="10"/>
      <c r="H12" s="7" t="s">
        <v>3458</v>
      </c>
      <c r="I12" s="7" t="s">
        <v>1697</v>
      </c>
      <c r="J12" s="7" t="s">
        <v>3426</v>
      </c>
      <c r="K12" s="7"/>
      <c r="L12" s="11" t="str">
        <f>HYPERLINK("http://slimages.macys.com/is/image/MCY/8813910 ")</f>
        <v xml:space="preserve">http://slimages.macys.com/is/image/MCY/8813910 </v>
      </c>
    </row>
    <row r="13" spans="1:12" ht="39.950000000000003" customHeight="1" x14ac:dyDescent="0.25">
      <c r="A13" s="6" t="s">
        <v>2191</v>
      </c>
      <c r="B13" s="7" t="s">
        <v>2192</v>
      </c>
      <c r="C13" s="8">
        <v>1</v>
      </c>
      <c r="D13" s="9">
        <v>78.11</v>
      </c>
      <c r="E13" s="8" t="s">
        <v>2193</v>
      </c>
      <c r="F13" s="7"/>
      <c r="G13" s="10"/>
      <c r="H13" s="7" t="s">
        <v>3478</v>
      </c>
      <c r="I13" s="7" t="s">
        <v>3553</v>
      </c>
      <c r="J13" s="7" t="s">
        <v>3426</v>
      </c>
      <c r="K13" s="7" t="s">
        <v>3518</v>
      </c>
      <c r="L13" s="11" t="str">
        <f>HYPERLINK("http://slimages.macys.com/is/image/MCY/15602452 ")</f>
        <v xml:space="preserve">http://slimages.macys.com/is/image/MCY/15602452 </v>
      </c>
    </row>
    <row r="14" spans="1:12" ht="39.950000000000003" customHeight="1" x14ac:dyDescent="0.25">
      <c r="A14" s="6" t="s">
        <v>2322</v>
      </c>
      <c r="B14" s="7" t="s">
        <v>2323</v>
      </c>
      <c r="C14" s="8">
        <v>1</v>
      </c>
      <c r="D14" s="9">
        <v>99.99</v>
      </c>
      <c r="E14" s="8">
        <v>81358</v>
      </c>
      <c r="F14" s="7" t="s">
        <v>3755</v>
      </c>
      <c r="G14" s="10"/>
      <c r="H14" s="7" t="s">
        <v>3478</v>
      </c>
      <c r="I14" s="7" t="s">
        <v>3479</v>
      </c>
      <c r="J14" s="7" t="s">
        <v>3426</v>
      </c>
      <c r="K14" s="7" t="s">
        <v>2324</v>
      </c>
      <c r="L14" s="11" t="str">
        <f>HYPERLINK("http://slimages.macys.com/is/image/MCY/15003309 ")</f>
        <v xml:space="preserve">http://slimages.macys.com/is/image/MCY/15003309 </v>
      </c>
    </row>
    <row r="15" spans="1:12" ht="39.950000000000003" customHeight="1" x14ac:dyDescent="0.25">
      <c r="A15" s="6" t="s">
        <v>2428</v>
      </c>
      <c r="B15" s="7" t="s">
        <v>2429</v>
      </c>
      <c r="C15" s="8">
        <v>1</v>
      </c>
      <c r="D15" s="9">
        <v>99.99</v>
      </c>
      <c r="E15" s="8" t="s">
        <v>2430</v>
      </c>
      <c r="F15" s="7" t="s">
        <v>3445</v>
      </c>
      <c r="G15" s="10"/>
      <c r="H15" s="7" t="s">
        <v>3467</v>
      </c>
      <c r="I15" s="7" t="s">
        <v>2922</v>
      </c>
      <c r="J15" s="7"/>
      <c r="K15" s="7"/>
      <c r="L15" s="11" t="str">
        <f>HYPERLINK("http://slimages.macys.com/is/image/MCY/18097083 ")</f>
        <v xml:space="preserve">http://slimages.macys.com/is/image/MCY/18097083 </v>
      </c>
    </row>
    <row r="16" spans="1:12" ht="39.950000000000003" customHeight="1" x14ac:dyDescent="0.25">
      <c r="A16" s="6" t="s">
        <v>2431</v>
      </c>
      <c r="B16" s="7" t="s">
        <v>2432</v>
      </c>
      <c r="C16" s="8">
        <v>1</v>
      </c>
      <c r="D16" s="9">
        <v>99.99</v>
      </c>
      <c r="E16" s="8" t="s">
        <v>2433</v>
      </c>
      <c r="F16" s="7" t="s">
        <v>3445</v>
      </c>
      <c r="G16" s="10"/>
      <c r="H16" s="7" t="s">
        <v>3676</v>
      </c>
      <c r="I16" s="7" t="s">
        <v>2579</v>
      </c>
      <c r="J16" s="7"/>
      <c r="K16" s="7"/>
      <c r="L16" s="11" t="str">
        <f>HYPERLINK("http://slimages.macys.com/is/image/MCY/17565919 ")</f>
        <v xml:space="preserve">http://slimages.macys.com/is/image/MCY/17565919 </v>
      </c>
    </row>
    <row r="17" spans="1:12" ht="39.950000000000003" customHeight="1" x14ac:dyDescent="0.25">
      <c r="A17" s="6" t="s">
        <v>2434</v>
      </c>
      <c r="B17" s="7" t="s">
        <v>2435</v>
      </c>
      <c r="C17" s="8">
        <v>1</v>
      </c>
      <c r="D17" s="9">
        <v>49.99</v>
      </c>
      <c r="E17" s="8" t="s">
        <v>2436</v>
      </c>
      <c r="F17" s="7" t="s">
        <v>3445</v>
      </c>
      <c r="G17" s="10"/>
      <c r="H17" s="7" t="s">
        <v>3542</v>
      </c>
      <c r="I17" s="7" t="s">
        <v>3741</v>
      </c>
      <c r="J17" s="7"/>
      <c r="K17" s="7"/>
      <c r="L17" s="11" t="str">
        <f>HYPERLINK("http://slimages.macys.com/is/image/MCY/17960139 ")</f>
        <v xml:space="preserve">http://slimages.macys.com/is/image/MCY/17960139 </v>
      </c>
    </row>
    <row r="18" spans="1:12" ht="39.950000000000003" customHeight="1" x14ac:dyDescent="0.25">
      <c r="A18" s="6" t="s">
        <v>2437</v>
      </c>
      <c r="B18" s="7" t="s">
        <v>2438</v>
      </c>
      <c r="C18" s="8">
        <v>1</v>
      </c>
      <c r="D18" s="9">
        <v>139.99</v>
      </c>
      <c r="E18" s="8" t="s">
        <v>2439</v>
      </c>
      <c r="F18" s="7" t="s">
        <v>3445</v>
      </c>
      <c r="G18" s="10" t="s">
        <v>2440</v>
      </c>
      <c r="H18" s="7" t="s">
        <v>3440</v>
      </c>
      <c r="I18" s="7" t="s">
        <v>3948</v>
      </c>
      <c r="J18" s="7" t="s">
        <v>3426</v>
      </c>
      <c r="K18" s="7" t="s">
        <v>3949</v>
      </c>
      <c r="L18" s="11" t="str">
        <f>HYPERLINK("http://slimages.macys.com/is/image/MCY/8182285 ")</f>
        <v xml:space="preserve">http://slimages.macys.com/is/image/MCY/8182285 </v>
      </c>
    </row>
    <row r="19" spans="1:12" ht="39.950000000000003" customHeight="1" x14ac:dyDescent="0.25">
      <c r="A19" s="6" t="s">
        <v>1840</v>
      </c>
      <c r="B19" s="7" t="s">
        <v>1841</v>
      </c>
      <c r="C19" s="8">
        <v>1</v>
      </c>
      <c r="D19" s="9">
        <v>69.989999999999995</v>
      </c>
      <c r="E19" s="8" t="s">
        <v>1842</v>
      </c>
      <c r="F19" s="7" t="s">
        <v>3496</v>
      </c>
      <c r="G19" s="10"/>
      <c r="H19" s="7" t="s">
        <v>3452</v>
      </c>
      <c r="I19" s="7" t="s">
        <v>3834</v>
      </c>
      <c r="J19" s="7" t="s">
        <v>3426</v>
      </c>
      <c r="K19" s="7" t="s">
        <v>3556</v>
      </c>
      <c r="L19" s="11" t="str">
        <f>HYPERLINK("http://slimages.macys.com/is/image/MCY/17754899 ")</f>
        <v xml:space="preserve">http://slimages.macys.com/is/image/MCY/17754899 </v>
      </c>
    </row>
    <row r="20" spans="1:12" ht="39.950000000000003" customHeight="1" x14ac:dyDescent="0.25">
      <c r="A20" s="6" t="s">
        <v>2441</v>
      </c>
      <c r="B20" s="7" t="s">
        <v>2442</v>
      </c>
      <c r="C20" s="8">
        <v>1</v>
      </c>
      <c r="D20" s="9">
        <v>109.99</v>
      </c>
      <c r="E20" s="8" t="s">
        <v>2443</v>
      </c>
      <c r="F20" s="7" t="s">
        <v>3530</v>
      </c>
      <c r="G20" s="10"/>
      <c r="H20" s="7" t="s">
        <v>3440</v>
      </c>
      <c r="I20" s="7" t="s">
        <v>3441</v>
      </c>
      <c r="J20" s="7" t="s">
        <v>3426</v>
      </c>
      <c r="K20" s="7" t="s">
        <v>3556</v>
      </c>
      <c r="L20" s="11" t="str">
        <f>HYPERLINK("http://slimages.macys.com/is/image/MCY/3137942 ")</f>
        <v xml:space="preserve">http://slimages.macys.com/is/image/MCY/3137942 </v>
      </c>
    </row>
    <row r="21" spans="1:12" ht="39.950000000000003" customHeight="1" x14ac:dyDescent="0.25">
      <c r="A21" s="6" t="s">
        <v>2344</v>
      </c>
      <c r="B21" s="7" t="s">
        <v>2345</v>
      </c>
      <c r="C21" s="8">
        <v>1</v>
      </c>
      <c r="D21" s="9">
        <v>79.989999999999995</v>
      </c>
      <c r="E21" s="8" t="s">
        <v>2346</v>
      </c>
      <c r="F21" s="7" t="s">
        <v>3892</v>
      </c>
      <c r="G21" s="10"/>
      <c r="H21" s="7" t="s">
        <v>3452</v>
      </c>
      <c r="I21" s="7" t="s">
        <v>3834</v>
      </c>
      <c r="J21" s="7"/>
      <c r="K21" s="7"/>
      <c r="L21" s="11" t="str">
        <f>HYPERLINK("http://slimages.macys.com/is/image/MCY/17997257 ")</f>
        <v xml:space="preserve">http://slimages.macys.com/is/image/MCY/17997257 </v>
      </c>
    </row>
    <row r="22" spans="1:12" ht="39.950000000000003" customHeight="1" x14ac:dyDescent="0.25">
      <c r="A22" s="6" t="s">
        <v>2444</v>
      </c>
      <c r="B22" s="7" t="s">
        <v>2445</v>
      </c>
      <c r="C22" s="8">
        <v>1</v>
      </c>
      <c r="D22" s="9">
        <v>49.99</v>
      </c>
      <c r="E22" s="8" t="s">
        <v>2446</v>
      </c>
      <c r="F22" s="7" t="s">
        <v>3535</v>
      </c>
      <c r="G22" s="10" t="s">
        <v>2447</v>
      </c>
      <c r="H22" s="7" t="s">
        <v>3542</v>
      </c>
      <c r="I22" s="7" t="s">
        <v>3491</v>
      </c>
      <c r="J22" s="7" t="s">
        <v>3426</v>
      </c>
      <c r="K22" s="7" t="s">
        <v>3492</v>
      </c>
      <c r="L22" s="11" t="str">
        <f>HYPERLINK("http://slimages.macys.com/is/image/MCY/14615659 ")</f>
        <v xml:space="preserve">http://slimages.macys.com/is/image/MCY/14615659 </v>
      </c>
    </row>
    <row r="23" spans="1:12" ht="39.950000000000003" customHeight="1" x14ac:dyDescent="0.25">
      <c r="A23" s="6" t="s">
        <v>2448</v>
      </c>
      <c r="B23" s="7" t="s">
        <v>2449</v>
      </c>
      <c r="C23" s="8">
        <v>1</v>
      </c>
      <c r="D23" s="9">
        <v>49.99</v>
      </c>
      <c r="E23" s="8" t="s">
        <v>2450</v>
      </c>
      <c r="F23" s="7" t="s">
        <v>3535</v>
      </c>
      <c r="G23" s="10" t="s">
        <v>2447</v>
      </c>
      <c r="H23" s="7" t="s">
        <v>3542</v>
      </c>
      <c r="I23" s="7" t="s">
        <v>3491</v>
      </c>
      <c r="J23" s="7" t="s">
        <v>3426</v>
      </c>
      <c r="K23" s="7" t="s">
        <v>3492</v>
      </c>
      <c r="L23" s="11" t="str">
        <f>HYPERLINK("http://slimages.macys.com/is/image/MCY/14615566 ")</f>
        <v xml:space="preserve">http://slimages.macys.com/is/image/MCY/14615566 </v>
      </c>
    </row>
    <row r="24" spans="1:12" ht="39.950000000000003" customHeight="1" x14ac:dyDescent="0.25">
      <c r="A24" s="6" t="s">
        <v>2451</v>
      </c>
      <c r="B24" s="7" t="s">
        <v>526</v>
      </c>
      <c r="C24" s="8">
        <v>1</v>
      </c>
      <c r="D24" s="9">
        <v>79.989999999999995</v>
      </c>
      <c r="E24" s="8" t="s">
        <v>527</v>
      </c>
      <c r="F24" s="7" t="s">
        <v>3445</v>
      </c>
      <c r="G24" s="10"/>
      <c r="H24" s="7" t="s">
        <v>3432</v>
      </c>
      <c r="I24" s="7" t="s">
        <v>528</v>
      </c>
      <c r="J24" s="7" t="s">
        <v>3426</v>
      </c>
      <c r="K24" s="7"/>
      <c r="L24" s="11" t="str">
        <f>HYPERLINK("http://slimages.macys.com/is/image/MCY/10035084 ")</f>
        <v xml:space="preserve">http://slimages.macys.com/is/image/MCY/10035084 </v>
      </c>
    </row>
    <row r="25" spans="1:12" ht="39.950000000000003" customHeight="1" x14ac:dyDescent="0.25">
      <c r="A25" s="6" t="s">
        <v>529</v>
      </c>
      <c r="B25" s="7" t="s">
        <v>530</v>
      </c>
      <c r="C25" s="8">
        <v>1</v>
      </c>
      <c r="D25" s="9">
        <v>48.99</v>
      </c>
      <c r="E25" s="8" t="s">
        <v>531</v>
      </c>
      <c r="F25" s="7" t="s">
        <v>3535</v>
      </c>
      <c r="G25" s="10"/>
      <c r="H25" s="7" t="s">
        <v>3490</v>
      </c>
      <c r="I25" s="7" t="s">
        <v>3943</v>
      </c>
      <c r="J25" s="7" t="s">
        <v>3426</v>
      </c>
      <c r="K25" s="7" t="s">
        <v>3518</v>
      </c>
      <c r="L25" s="11" t="str">
        <f>HYPERLINK("http://slimages.macys.com/is/image/MCY/9168734 ")</f>
        <v xml:space="preserve">http://slimages.macys.com/is/image/MCY/9168734 </v>
      </c>
    </row>
    <row r="26" spans="1:12" ht="39.950000000000003" customHeight="1" x14ac:dyDescent="0.25">
      <c r="A26" s="6" t="s">
        <v>532</v>
      </c>
      <c r="B26" s="7" t="s">
        <v>533</v>
      </c>
      <c r="C26" s="8">
        <v>1</v>
      </c>
      <c r="D26" s="9">
        <v>99.99</v>
      </c>
      <c r="E26" s="8" t="s">
        <v>534</v>
      </c>
      <c r="F26" s="7" t="s">
        <v>3535</v>
      </c>
      <c r="G26" s="10" t="s">
        <v>1625</v>
      </c>
      <c r="H26" s="7" t="s">
        <v>3440</v>
      </c>
      <c r="I26" s="7" t="s">
        <v>3948</v>
      </c>
      <c r="J26" s="7" t="s">
        <v>3426</v>
      </c>
      <c r="K26" s="7" t="s">
        <v>3949</v>
      </c>
      <c r="L26" s="11" t="str">
        <f>HYPERLINK("http://slimages.macys.com/is/image/MCY/8182285 ")</f>
        <v xml:space="preserve">http://slimages.macys.com/is/image/MCY/8182285 </v>
      </c>
    </row>
    <row r="27" spans="1:12" ht="39.950000000000003" customHeight="1" x14ac:dyDescent="0.25">
      <c r="A27" s="6" t="s">
        <v>535</v>
      </c>
      <c r="B27" s="7" t="s">
        <v>536</v>
      </c>
      <c r="C27" s="8">
        <v>1</v>
      </c>
      <c r="D27" s="9">
        <v>49.99</v>
      </c>
      <c r="E27" s="8" t="s">
        <v>537</v>
      </c>
      <c r="F27" s="7" t="s">
        <v>3496</v>
      </c>
      <c r="G27" s="10"/>
      <c r="H27" s="7" t="s">
        <v>3478</v>
      </c>
      <c r="I27" s="7" t="s">
        <v>3517</v>
      </c>
      <c r="J27" s="7" t="s">
        <v>3426</v>
      </c>
      <c r="K27" s="7" t="s">
        <v>3518</v>
      </c>
      <c r="L27" s="11" t="str">
        <f>HYPERLINK("http://slimages.macys.com/is/image/MCY/8347198 ")</f>
        <v xml:space="preserve">http://slimages.macys.com/is/image/MCY/8347198 </v>
      </c>
    </row>
    <row r="28" spans="1:12" ht="39.950000000000003" customHeight="1" x14ac:dyDescent="0.25">
      <c r="A28" s="6" t="s">
        <v>538</v>
      </c>
      <c r="B28" s="7" t="s">
        <v>539</v>
      </c>
      <c r="C28" s="8">
        <v>1</v>
      </c>
      <c r="D28" s="9">
        <v>49.99</v>
      </c>
      <c r="E28" s="8">
        <v>2000000041</v>
      </c>
      <c r="F28" s="7" t="s">
        <v>3496</v>
      </c>
      <c r="G28" s="10"/>
      <c r="H28" s="7" t="s">
        <v>3478</v>
      </c>
      <c r="I28" s="7" t="s">
        <v>3517</v>
      </c>
      <c r="J28" s="7"/>
      <c r="K28" s="7"/>
      <c r="L28" s="11" t="str">
        <f>HYPERLINK("http://slimages.macys.com/is/image/MCY/17814696 ")</f>
        <v xml:space="preserve">http://slimages.macys.com/is/image/MCY/17814696 </v>
      </c>
    </row>
    <row r="29" spans="1:12" ht="39.950000000000003" customHeight="1" x14ac:dyDescent="0.25">
      <c r="A29" s="6" t="s">
        <v>540</v>
      </c>
      <c r="B29" s="7" t="s">
        <v>541</v>
      </c>
      <c r="C29" s="8">
        <v>2</v>
      </c>
      <c r="D29" s="9">
        <v>109.98</v>
      </c>
      <c r="E29" s="8" t="s">
        <v>542</v>
      </c>
      <c r="F29" s="7" t="s">
        <v>4167</v>
      </c>
      <c r="G29" s="10"/>
      <c r="H29" s="7" t="s">
        <v>3490</v>
      </c>
      <c r="I29" s="7" t="s">
        <v>3553</v>
      </c>
      <c r="J29" s="7" t="s">
        <v>3426</v>
      </c>
      <c r="K29" s="7" t="s">
        <v>4340</v>
      </c>
      <c r="L29" s="11" t="str">
        <f>HYPERLINK("http://slimages.macys.com/is/image/MCY/8216610 ")</f>
        <v xml:space="preserve">http://slimages.macys.com/is/image/MCY/8216610 </v>
      </c>
    </row>
    <row r="30" spans="1:12" ht="39.950000000000003" customHeight="1" x14ac:dyDescent="0.25">
      <c r="A30" s="6" t="s">
        <v>543</v>
      </c>
      <c r="B30" s="7" t="s">
        <v>544</v>
      </c>
      <c r="C30" s="8">
        <v>1</v>
      </c>
      <c r="D30" s="9">
        <v>59.99</v>
      </c>
      <c r="E30" s="8">
        <v>21478022</v>
      </c>
      <c r="F30" s="7"/>
      <c r="G30" s="10"/>
      <c r="H30" s="7" t="s">
        <v>3478</v>
      </c>
      <c r="I30" s="7" t="s">
        <v>3517</v>
      </c>
      <c r="J30" s="7" t="s">
        <v>3426</v>
      </c>
      <c r="K30" s="7" t="s">
        <v>3518</v>
      </c>
      <c r="L30" s="11" t="str">
        <f>HYPERLINK("http://slimages.macys.com/is/image/MCY/15396834 ")</f>
        <v xml:space="preserve">http://slimages.macys.com/is/image/MCY/15396834 </v>
      </c>
    </row>
    <row r="31" spans="1:12" ht="39.950000000000003" customHeight="1" x14ac:dyDescent="0.25">
      <c r="A31" s="6" t="s">
        <v>545</v>
      </c>
      <c r="B31" s="7" t="s">
        <v>546</v>
      </c>
      <c r="C31" s="8">
        <v>1</v>
      </c>
      <c r="D31" s="9">
        <v>49.99</v>
      </c>
      <c r="E31" s="8" t="s">
        <v>547</v>
      </c>
      <c r="F31" s="7" t="s">
        <v>3463</v>
      </c>
      <c r="G31" s="10"/>
      <c r="H31" s="7" t="s">
        <v>3478</v>
      </c>
      <c r="I31" s="7" t="s">
        <v>3517</v>
      </c>
      <c r="J31" s="7" t="s">
        <v>3426</v>
      </c>
      <c r="K31" s="7" t="s">
        <v>3518</v>
      </c>
      <c r="L31" s="11" t="str">
        <f>HYPERLINK("http://slimages.macys.com/is/image/MCY/8347198 ")</f>
        <v xml:space="preserve">http://slimages.macys.com/is/image/MCY/8347198 </v>
      </c>
    </row>
    <row r="32" spans="1:12" ht="39.950000000000003" customHeight="1" x14ac:dyDescent="0.25">
      <c r="A32" s="6" t="s">
        <v>548</v>
      </c>
      <c r="B32" s="7" t="s">
        <v>549</v>
      </c>
      <c r="C32" s="8">
        <v>2</v>
      </c>
      <c r="D32" s="9">
        <v>129.97999999999999</v>
      </c>
      <c r="E32" s="8" t="s">
        <v>550</v>
      </c>
      <c r="F32" s="7" t="s">
        <v>3445</v>
      </c>
      <c r="G32" s="10" t="s">
        <v>3547</v>
      </c>
      <c r="H32" s="7" t="s">
        <v>3525</v>
      </c>
      <c r="I32" s="7" t="s">
        <v>3526</v>
      </c>
      <c r="J32" s="7" t="s">
        <v>3564</v>
      </c>
      <c r="K32" s="7" t="s">
        <v>2684</v>
      </c>
      <c r="L32" s="11" t="str">
        <f>HYPERLINK("http://slimages.macys.com/is/image/MCY/13368404 ")</f>
        <v xml:space="preserve">http://slimages.macys.com/is/image/MCY/13368404 </v>
      </c>
    </row>
    <row r="33" spans="1:12" ht="39.950000000000003" customHeight="1" x14ac:dyDescent="0.25">
      <c r="A33" s="6" t="s">
        <v>551</v>
      </c>
      <c r="B33" s="7" t="s">
        <v>552</v>
      </c>
      <c r="C33" s="8">
        <v>1</v>
      </c>
      <c r="D33" s="9">
        <v>39.99</v>
      </c>
      <c r="E33" s="8" t="s">
        <v>553</v>
      </c>
      <c r="F33" s="7" t="s">
        <v>3832</v>
      </c>
      <c r="G33" s="10"/>
      <c r="H33" s="7" t="s">
        <v>3467</v>
      </c>
      <c r="I33" s="7" t="s">
        <v>4333</v>
      </c>
      <c r="J33" s="7" t="s">
        <v>3426</v>
      </c>
      <c r="K33" s="7" t="s">
        <v>3556</v>
      </c>
      <c r="L33" s="11" t="str">
        <f>HYPERLINK("http://slimages.macys.com/is/image/MCY/13949182 ")</f>
        <v xml:space="preserve">http://slimages.macys.com/is/image/MCY/13949182 </v>
      </c>
    </row>
    <row r="34" spans="1:12" ht="39.950000000000003" customHeight="1" x14ac:dyDescent="0.25">
      <c r="A34" s="6" t="s">
        <v>554</v>
      </c>
      <c r="B34" s="7" t="s">
        <v>555</v>
      </c>
      <c r="C34" s="8">
        <v>1</v>
      </c>
      <c r="D34" s="9">
        <v>44.99</v>
      </c>
      <c r="E34" s="8" t="s">
        <v>556</v>
      </c>
      <c r="F34" s="7" t="s">
        <v>3445</v>
      </c>
      <c r="G34" s="10"/>
      <c r="H34" s="7" t="s">
        <v>3559</v>
      </c>
      <c r="I34" s="7" t="s">
        <v>2575</v>
      </c>
      <c r="J34" s="7" t="s">
        <v>3426</v>
      </c>
      <c r="K34" s="7" t="s">
        <v>3144</v>
      </c>
      <c r="L34" s="11" t="str">
        <f>HYPERLINK("http://slimages.macys.com/is/image/MCY/11189219 ")</f>
        <v xml:space="preserve">http://slimages.macys.com/is/image/MCY/11189219 </v>
      </c>
    </row>
    <row r="35" spans="1:12" ht="39.950000000000003" customHeight="1" x14ac:dyDescent="0.25">
      <c r="A35" s="6" t="s">
        <v>557</v>
      </c>
      <c r="B35" s="7" t="s">
        <v>558</v>
      </c>
      <c r="C35" s="8">
        <v>1</v>
      </c>
      <c r="D35" s="9">
        <v>47.99</v>
      </c>
      <c r="E35" s="8" t="s">
        <v>559</v>
      </c>
      <c r="F35" s="7" t="s">
        <v>3477</v>
      </c>
      <c r="G35" s="10" t="s">
        <v>3439</v>
      </c>
      <c r="H35" s="7" t="s">
        <v>3676</v>
      </c>
      <c r="I35" s="7" t="s">
        <v>3677</v>
      </c>
      <c r="J35" s="7" t="s">
        <v>3426</v>
      </c>
      <c r="K35" s="7" t="s">
        <v>3518</v>
      </c>
      <c r="L35" s="11" t="str">
        <f>HYPERLINK("http://slimages.macys.com/is/image/MCY/9489266 ")</f>
        <v xml:space="preserve">http://slimages.macys.com/is/image/MCY/9489266 </v>
      </c>
    </row>
    <row r="36" spans="1:12" ht="39.950000000000003" customHeight="1" x14ac:dyDescent="0.25">
      <c r="A36" s="6" t="s">
        <v>560</v>
      </c>
      <c r="B36" s="7" t="s">
        <v>561</v>
      </c>
      <c r="C36" s="8">
        <v>1</v>
      </c>
      <c r="D36" s="9">
        <v>29.99</v>
      </c>
      <c r="E36" s="8" t="s">
        <v>562</v>
      </c>
      <c r="F36" s="7" t="s">
        <v>3477</v>
      </c>
      <c r="G36" s="10"/>
      <c r="H36" s="7" t="s">
        <v>3452</v>
      </c>
      <c r="I36" s="7" t="s">
        <v>3834</v>
      </c>
      <c r="J36" s="7" t="s">
        <v>3426</v>
      </c>
      <c r="K36" s="7"/>
      <c r="L36" s="11" t="str">
        <f>HYPERLINK("http://slimages.macys.com/is/image/MCY/9940182 ")</f>
        <v xml:space="preserve">http://slimages.macys.com/is/image/MCY/9940182 </v>
      </c>
    </row>
    <row r="37" spans="1:12" ht="39.950000000000003" customHeight="1" x14ac:dyDescent="0.25">
      <c r="A37" s="6" t="s">
        <v>3138</v>
      </c>
      <c r="B37" s="7" t="s">
        <v>3139</v>
      </c>
      <c r="C37" s="8">
        <v>1</v>
      </c>
      <c r="D37" s="9">
        <v>59.99</v>
      </c>
      <c r="E37" s="8" t="s">
        <v>3140</v>
      </c>
      <c r="F37" s="7" t="s">
        <v>3445</v>
      </c>
      <c r="G37" s="10"/>
      <c r="H37" s="7" t="s">
        <v>3525</v>
      </c>
      <c r="I37" s="7" t="s">
        <v>3548</v>
      </c>
      <c r="J37" s="7"/>
      <c r="K37" s="7"/>
      <c r="L37" s="11" t="str">
        <f>HYPERLINK("http://slimages.macys.com/is/image/MCY/16080107 ")</f>
        <v xml:space="preserve">http://slimages.macys.com/is/image/MCY/16080107 </v>
      </c>
    </row>
    <row r="38" spans="1:12" ht="39.950000000000003" customHeight="1" x14ac:dyDescent="0.25">
      <c r="A38" s="6" t="s">
        <v>563</v>
      </c>
      <c r="B38" s="7" t="s">
        <v>564</v>
      </c>
      <c r="C38" s="8">
        <v>1</v>
      </c>
      <c r="D38" s="9">
        <v>24.99</v>
      </c>
      <c r="E38" s="8" t="s">
        <v>565</v>
      </c>
      <c r="F38" s="7" t="s">
        <v>3832</v>
      </c>
      <c r="G38" s="10"/>
      <c r="H38" s="7" t="s">
        <v>3467</v>
      </c>
      <c r="I38" s="7" t="s">
        <v>4333</v>
      </c>
      <c r="J38" s="7" t="s">
        <v>3426</v>
      </c>
      <c r="K38" s="7" t="s">
        <v>4251</v>
      </c>
      <c r="L38" s="11" t="str">
        <f>HYPERLINK("http://slimages.macys.com/is/image/MCY/13949182 ")</f>
        <v xml:space="preserve">http://slimages.macys.com/is/image/MCY/13949182 </v>
      </c>
    </row>
    <row r="39" spans="1:12" ht="39.950000000000003" customHeight="1" x14ac:dyDescent="0.25">
      <c r="A39" s="6" t="s">
        <v>566</v>
      </c>
      <c r="B39" s="7" t="s">
        <v>567</v>
      </c>
      <c r="C39" s="8">
        <v>1</v>
      </c>
      <c r="D39" s="9">
        <v>49.99</v>
      </c>
      <c r="E39" s="8" t="s">
        <v>568</v>
      </c>
      <c r="F39" s="7" t="s">
        <v>3720</v>
      </c>
      <c r="G39" s="10"/>
      <c r="H39" s="7" t="s">
        <v>3458</v>
      </c>
      <c r="I39" s="7" t="s">
        <v>3459</v>
      </c>
      <c r="J39" s="7" t="s">
        <v>3426</v>
      </c>
      <c r="K39" s="7" t="s">
        <v>3556</v>
      </c>
      <c r="L39" s="11" t="str">
        <f>HYPERLINK("http://slimages.macys.com/is/image/MCY/8432521 ")</f>
        <v xml:space="preserve">http://slimages.macys.com/is/image/MCY/8432521 </v>
      </c>
    </row>
    <row r="40" spans="1:12" ht="39.950000000000003" customHeight="1" x14ac:dyDescent="0.25">
      <c r="A40" s="6" t="s">
        <v>569</v>
      </c>
      <c r="B40" s="7" t="s">
        <v>570</v>
      </c>
      <c r="C40" s="8">
        <v>1</v>
      </c>
      <c r="D40" s="9">
        <v>41.99</v>
      </c>
      <c r="E40" s="8" t="s">
        <v>571</v>
      </c>
      <c r="F40" s="7" t="s">
        <v>3530</v>
      </c>
      <c r="G40" s="10"/>
      <c r="H40" s="7" t="s">
        <v>3676</v>
      </c>
      <c r="I40" s="7" t="s">
        <v>3677</v>
      </c>
      <c r="J40" s="7"/>
      <c r="K40" s="7"/>
      <c r="L40" s="11" t="str">
        <f>HYPERLINK("http://slimages.macys.com/is/image/MCY/12327267 ")</f>
        <v xml:space="preserve">http://slimages.macys.com/is/image/MCY/12327267 </v>
      </c>
    </row>
    <row r="41" spans="1:12" ht="39.950000000000003" customHeight="1" x14ac:dyDescent="0.25">
      <c r="A41" s="6" t="s">
        <v>572</v>
      </c>
      <c r="B41" s="7" t="s">
        <v>573</v>
      </c>
      <c r="C41" s="8">
        <v>1</v>
      </c>
      <c r="D41" s="9">
        <v>39.99</v>
      </c>
      <c r="E41" s="8">
        <v>130345</v>
      </c>
      <c r="F41" s="7" t="s">
        <v>3535</v>
      </c>
      <c r="G41" s="10"/>
      <c r="H41" s="7" t="s">
        <v>2471</v>
      </c>
      <c r="I41" s="7" t="s">
        <v>2575</v>
      </c>
      <c r="J41" s="7" t="s">
        <v>3426</v>
      </c>
      <c r="K41" s="7" t="s">
        <v>3135</v>
      </c>
      <c r="L41" s="11" t="str">
        <f>HYPERLINK("http://slimages.macys.com/is/image/MCY/3895749 ")</f>
        <v xml:space="preserve">http://slimages.macys.com/is/image/MCY/3895749 </v>
      </c>
    </row>
    <row r="42" spans="1:12" ht="39.950000000000003" customHeight="1" x14ac:dyDescent="0.25">
      <c r="A42" s="6" t="s">
        <v>574</v>
      </c>
      <c r="B42" s="7" t="s">
        <v>575</v>
      </c>
      <c r="C42" s="8">
        <v>1</v>
      </c>
      <c r="D42" s="9">
        <v>47.99</v>
      </c>
      <c r="E42" s="8" t="s">
        <v>576</v>
      </c>
      <c r="F42" s="7" t="s">
        <v>3610</v>
      </c>
      <c r="G42" s="10" t="s">
        <v>4276</v>
      </c>
      <c r="H42" s="7" t="s">
        <v>3525</v>
      </c>
      <c r="I42" s="7" t="s">
        <v>3612</v>
      </c>
      <c r="J42" s="7" t="s">
        <v>3613</v>
      </c>
      <c r="K42" s="7"/>
      <c r="L42" s="11" t="str">
        <f>HYPERLINK("http://slimages.macys.com/is/image/MCY/9406085 ")</f>
        <v xml:space="preserve">http://slimages.macys.com/is/image/MCY/9406085 </v>
      </c>
    </row>
    <row r="43" spans="1:12" ht="39.950000000000003" customHeight="1" x14ac:dyDescent="0.25">
      <c r="A43" s="6" t="s">
        <v>577</v>
      </c>
      <c r="B43" s="7" t="s">
        <v>578</v>
      </c>
      <c r="C43" s="8">
        <v>1</v>
      </c>
      <c r="D43" s="9">
        <v>49.99</v>
      </c>
      <c r="E43" s="8">
        <v>100061677</v>
      </c>
      <c r="F43" s="7" t="s">
        <v>4304</v>
      </c>
      <c r="G43" s="10"/>
      <c r="H43" s="7" t="s">
        <v>3467</v>
      </c>
      <c r="I43" s="7" t="s">
        <v>3473</v>
      </c>
      <c r="J43" s="7" t="s">
        <v>3426</v>
      </c>
      <c r="K43" s="7"/>
      <c r="L43" s="11" t="str">
        <f>HYPERLINK("http://slimages.macys.com/is/image/MCY/14815918 ")</f>
        <v xml:space="preserve">http://slimages.macys.com/is/image/MCY/14815918 </v>
      </c>
    </row>
    <row r="44" spans="1:12" ht="39.950000000000003" customHeight="1" x14ac:dyDescent="0.25">
      <c r="A44" s="6" t="s">
        <v>579</v>
      </c>
      <c r="B44" s="7" t="s">
        <v>580</v>
      </c>
      <c r="C44" s="8">
        <v>1</v>
      </c>
      <c r="D44" s="9">
        <v>26.99</v>
      </c>
      <c r="E44" s="8" t="s">
        <v>581</v>
      </c>
      <c r="F44" s="7" t="s">
        <v>3286</v>
      </c>
      <c r="G44" s="10"/>
      <c r="H44" s="7" t="s">
        <v>3583</v>
      </c>
      <c r="I44" s="7" t="s">
        <v>3553</v>
      </c>
      <c r="J44" s="7" t="s">
        <v>3426</v>
      </c>
      <c r="K44" s="7" t="s">
        <v>582</v>
      </c>
      <c r="L44" s="11" t="str">
        <f>HYPERLINK("http://slimages.macys.com/is/image/MCY/10082246 ")</f>
        <v xml:space="preserve">http://slimages.macys.com/is/image/MCY/10082246 </v>
      </c>
    </row>
    <row r="45" spans="1:12" ht="39.950000000000003" customHeight="1" x14ac:dyDescent="0.25">
      <c r="A45" s="6" t="s">
        <v>583</v>
      </c>
      <c r="B45" s="7" t="s">
        <v>584</v>
      </c>
      <c r="C45" s="8">
        <v>1</v>
      </c>
      <c r="D45" s="9">
        <v>24.99</v>
      </c>
      <c r="E45" s="8" t="s">
        <v>585</v>
      </c>
      <c r="F45" s="7" t="s">
        <v>3477</v>
      </c>
      <c r="G45" s="10" t="s">
        <v>4156</v>
      </c>
      <c r="H45" s="7" t="s">
        <v>3490</v>
      </c>
      <c r="I45" s="7" t="s">
        <v>3553</v>
      </c>
      <c r="J45" s="7" t="s">
        <v>3426</v>
      </c>
      <c r="K45" s="7" t="s">
        <v>586</v>
      </c>
      <c r="L45" s="11" t="str">
        <f>HYPERLINK("http://slimages.macys.com/is/image/MCY/9602403 ")</f>
        <v xml:space="preserve">http://slimages.macys.com/is/image/MCY/9602403 </v>
      </c>
    </row>
    <row r="46" spans="1:12" ht="39.950000000000003" customHeight="1" x14ac:dyDescent="0.25">
      <c r="A46" s="6" t="s">
        <v>587</v>
      </c>
      <c r="B46" s="7" t="s">
        <v>588</v>
      </c>
      <c r="C46" s="8">
        <v>1</v>
      </c>
      <c r="D46" s="9">
        <v>39.99</v>
      </c>
      <c r="E46" s="8">
        <v>130344</v>
      </c>
      <c r="F46" s="7" t="s">
        <v>3535</v>
      </c>
      <c r="G46" s="10" t="s">
        <v>3675</v>
      </c>
      <c r="H46" s="7" t="s">
        <v>2471</v>
      </c>
      <c r="I46" s="7" t="s">
        <v>2575</v>
      </c>
      <c r="J46" s="7" t="s">
        <v>3426</v>
      </c>
      <c r="K46" s="7" t="s">
        <v>3518</v>
      </c>
      <c r="L46" s="11" t="str">
        <f>HYPERLINK("http://slimages.macys.com/is/image/MCY/3895749 ")</f>
        <v xml:space="preserve">http://slimages.macys.com/is/image/MCY/3895749 </v>
      </c>
    </row>
    <row r="47" spans="1:12" ht="39.950000000000003" customHeight="1" x14ac:dyDescent="0.25">
      <c r="A47" s="6" t="s">
        <v>589</v>
      </c>
      <c r="B47" s="7" t="s">
        <v>590</v>
      </c>
      <c r="C47" s="8">
        <v>1</v>
      </c>
      <c r="D47" s="9">
        <v>21.99</v>
      </c>
      <c r="E47" s="8">
        <v>54337</v>
      </c>
      <c r="F47" s="7" t="s">
        <v>3463</v>
      </c>
      <c r="G47" s="10"/>
      <c r="H47" s="7" t="s">
        <v>3490</v>
      </c>
      <c r="I47" s="7" t="s">
        <v>3649</v>
      </c>
      <c r="J47" s="7" t="s">
        <v>3426</v>
      </c>
      <c r="K47" s="7" t="s">
        <v>3811</v>
      </c>
      <c r="L47" s="11" t="str">
        <f>HYPERLINK("http://slimages.macys.com/is/image/MCY/11243035 ")</f>
        <v xml:space="preserve">http://slimages.macys.com/is/image/MCY/11243035 </v>
      </c>
    </row>
    <row r="48" spans="1:12" ht="39.950000000000003" customHeight="1" x14ac:dyDescent="0.25">
      <c r="A48" s="6" t="s">
        <v>591</v>
      </c>
      <c r="B48" s="7" t="s">
        <v>592</v>
      </c>
      <c r="C48" s="8">
        <v>1</v>
      </c>
      <c r="D48" s="9">
        <v>34.99</v>
      </c>
      <c r="E48" s="8" t="s">
        <v>4187</v>
      </c>
      <c r="F48" s="7" t="s">
        <v>3445</v>
      </c>
      <c r="G48" s="10"/>
      <c r="H48" s="7" t="s">
        <v>3452</v>
      </c>
      <c r="I48" s="7" t="s">
        <v>3453</v>
      </c>
      <c r="J48" s="7"/>
      <c r="K48" s="7"/>
      <c r="L48" s="11" t="str">
        <f>HYPERLINK("http://slimages.macys.com/is/image/MCY/17773190 ")</f>
        <v xml:space="preserve">http://slimages.macys.com/is/image/MCY/17773190 </v>
      </c>
    </row>
    <row r="49" spans="1:12" ht="39.950000000000003" customHeight="1" x14ac:dyDescent="0.25">
      <c r="A49" s="6" t="s">
        <v>593</v>
      </c>
      <c r="B49" s="7" t="s">
        <v>594</v>
      </c>
      <c r="C49" s="8">
        <v>1</v>
      </c>
      <c r="D49" s="9">
        <v>17.989999999999998</v>
      </c>
      <c r="E49" s="8">
        <v>39401</v>
      </c>
      <c r="F49" s="7" t="s">
        <v>3445</v>
      </c>
      <c r="G49" s="10" t="s">
        <v>2503</v>
      </c>
      <c r="H49" s="7" t="s">
        <v>3559</v>
      </c>
      <c r="I49" s="7" t="s">
        <v>3560</v>
      </c>
      <c r="J49" s="7"/>
      <c r="K49" s="7"/>
      <c r="L49" s="11" t="str">
        <f>HYPERLINK("http://slimages.macys.com/is/image/MCY/18461838 ")</f>
        <v xml:space="preserve">http://slimages.macys.com/is/image/MCY/18461838 </v>
      </c>
    </row>
    <row r="50" spans="1:12" ht="39.950000000000003" customHeight="1" x14ac:dyDescent="0.25">
      <c r="A50" s="6" t="s">
        <v>595</v>
      </c>
      <c r="B50" s="7" t="s">
        <v>596</v>
      </c>
      <c r="C50" s="8">
        <v>2</v>
      </c>
      <c r="D50" s="9">
        <v>27.98</v>
      </c>
      <c r="E50" s="8" t="s">
        <v>597</v>
      </c>
      <c r="F50" s="7" t="s">
        <v>3892</v>
      </c>
      <c r="G50" s="10"/>
      <c r="H50" s="7" t="s">
        <v>3542</v>
      </c>
      <c r="I50" s="7" t="s">
        <v>4374</v>
      </c>
      <c r="J50" s="7" t="s">
        <v>3426</v>
      </c>
      <c r="K50" s="7" t="s">
        <v>4300</v>
      </c>
      <c r="L50" s="11" t="str">
        <f>HYPERLINK("http://slimages.macys.com/is/image/MCY/10683273 ")</f>
        <v xml:space="preserve">http://slimages.macys.com/is/image/MCY/10683273 </v>
      </c>
    </row>
    <row r="51" spans="1:12" ht="39.950000000000003" customHeight="1" x14ac:dyDescent="0.25">
      <c r="A51" s="6" t="s">
        <v>598</v>
      </c>
      <c r="B51" s="7" t="s">
        <v>599</v>
      </c>
      <c r="C51" s="8">
        <v>2</v>
      </c>
      <c r="D51" s="9">
        <v>27.98</v>
      </c>
      <c r="E51" s="8" t="s">
        <v>597</v>
      </c>
      <c r="F51" s="7" t="s">
        <v>3431</v>
      </c>
      <c r="G51" s="10"/>
      <c r="H51" s="7" t="s">
        <v>3542</v>
      </c>
      <c r="I51" s="7" t="s">
        <v>4374</v>
      </c>
      <c r="J51" s="7" t="s">
        <v>3426</v>
      </c>
      <c r="K51" s="7" t="s">
        <v>4300</v>
      </c>
      <c r="L51" s="11" t="str">
        <f>HYPERLINK("http://slimages.macys.com/is/image/MCY/10683273 ")</f>
        <v xml:space="preserve">http://slimages.macys.com/is/image/MCY/10683273 </v>
      </c>
    </row>
    <row r="52" spans="1:12" ht="39.950000000000003" customHeight="1" x14ac:dyDescent="0.25">
      <c r="A52" s="6" t="s">
        <v>600</v>
      </c>
      <c r="B52" s="7" t="s">
        <v>601</v>
      </c>
      <c r="C52" s="8">
        <v>2</v>
      </c>
      <c r="D52" s="9">
        <v>27.98</v>
      </c>
      <c r="E52" s="8" t="s">
        <v>597</v>
      </c>
      <c r="F52" s="7" t="s">
        <v>3504</v>
      </c>
      <c r="G52" s="10"/>
      <c r="H52" s="7" t="s">
        <v>3542</v>
      </c>
      <c r="I52" s="7" t="s">
        <v>4374</v>
      </c>
      <c r="J52" s="7" t="s">
        <v>3426</v>
      </c>
      <c r="K52" s="7" t="s">
        <v>4300</v>
      </c>
      <c r="L52" s="11" t="str">
        <f>HYPERLINK("http://slimages.macys.com/is/image/MCY/10683273 ")</f>
        <v xml:space="preserve">http://slimages.macys.com/is/image/MCY/10683273 </v>
      </c>
    </row>
    <row r="53" spans="1:12" ht="39.950000000000003" customHeight="1" x14ac:dyDescent="0.25">
      <c r="A53" s="6" t="s">
        <v>602</v>
      </c>
      <c r="B53" s="7" t="s">
        <v>603</v>
      </c>
      <c r="C53" s="8">
        <v>1</v>
      </c>
      <c r="D53" s="9">
        <v>13.99</v>
      </c>
      <c r="E53" s="8" t="s">
        <v>604</v>
      </c>
      <c r="F53" s="7" t="s">
        <v>3504</v>
      </c>
      <c r="G53" s="10"/>
      <c r="H53" s="7" t="s">
        <v>3542</v>
      </c>
      <c r="I53" s="7" t="s">
        <v>4374</v>
      </c>
      <c r="J53" s="7" t="s">
        <v>3426</v>
      </c>
      <c r="K53" s="7" t="s">
        <v>4300</v>
      </c>
      <c r="L53" s="11" t="str">
        <f>HYPERLINK("http://slimages.macys.com/is/image/MCY/10683271 ")</f>
        <v xml:space="preserve">http://slimages.macys.com/is/image/MCY/10683271 </v>
      </c>
    </row>
    <row r="54" spans="1:12" ht="39.950000000000003" customHeight="1" x14ac:dyDescent="0.25">
      <c r="A54" s="6" t="s">
        <v>605</v>
      </c>
      <c r="B54" s="7" t="s">
        <v>606</v>
      </c>
      <c r="C54" s="8">
        <v>1</v>
      </c>
      <c r="D54" s="9">
        <v>13.99</v>
      </c>
      <c r="E54" s="8" t="s">
        <v>604</v>
      </c>
      <c r="F54" s="7" t="s">
        <v>3892</v>
      </c>
      <c r="G54" s="10"/>
      <c r="H54" s="7" t="s">
        <v>3542</v>
      </c>
      <c r="I54" s="7" t="s">
        <v>4374</v>
      </c>
      <c r="J54" s="7" t="s">
        <v>3426</v>
      </c>
      <c r="K54" s="7" t="s">
        <v>4300</v>
      </c>
      <c r="L54" s="11" t="str">
        <f>HYPERLINK("http://slimages.macys.com/is/image/MCY/10683271 ")</f>
        <v xml:space="preserve">http://slimages.macys.com/is/image/MCY/10683271 </v>
      </c>
    </row>
    <row r="55" spans="1:12" ht="39.950000000000003" customHeight="1" x14ac:dyDescent="0.25">
      <c r="A55" s="6" t="s">
        <v>607</v>
      </c>
      <c r="B55" s="7" t="s">
        <v>608</v>
      </c>
      <c r="C55" s="8">
        <v>1</v>
      </c>
      <c r="D55" s="9">
        <v>78.11</v>
      </c>
      <c r="E55" s="8" t="s">
        <v>609</v>
      </c>
      <c r="F55" s="7"/>
      <c r="G55" s="10"/>
      <c r="H55" s="7" t="s">
        <v>3654</v>
      </c>
      <c r="I55" s="7" t="s">
        <v>3655</v>
      </c>
      <c r="J55" s="7" t="s">
        <v>3426</v>
      </c>
      <c r="K55" s="7" t="s">
        <v>3492</v>
      </c>
      <c r="L55" s="11" t="str">
        <f>HYPERLINK("http://slimages.macys.com/is/image/MCY/3964365 ")</f>
        <v xml:space="preserve">http://slimages.macys.com/is/image/MCY/3964365 </v>
      </c>
    </row>
    <row r="56" spans="1:12" ht="39.950000000000003" customHeight="1" x14ac:dyDescent="0.25">
      <c r="A56" s="6" t="s">
        <v>610</v>
      </c>
      <c r="B56" s="7" t="s">
        <v>611</v>
      </c>
      <c r="C56" s="8">
        <v>3</v>
      </c>
      <c r="D56" s="9">
        <v>38.97</v>
      </c>
      <c r="E56" s="8" t="s">
        <v>612</v>
      </c>
      <c r="F56" s="7" t="s">
        <v>3477</v>
      </c>
      <c r="G56" s="10" t="s">
        <v>3653</v>
      </c>
      <c r="H56" s="7" t="s">
        <v>3635</v>
      </c>
      <c r="I56" s="7" t="s">
        <v>4183</v>
      </c>
      <c r="J56" s="7"/>
      <c r="K56" s="7"/>
      <c r="L56" s="11" t="str">
        <f>HYPERLINK("http://slimages.macys.com/is/image/MCY/17309981 ")</f>
        <v xml:space="preserve">http://slimages.macys.com/is/image/MCY/17309981 </v>
      </c>
    </row>
    <row r="57" spans="1:12" ht="39.950000000000003" customHeight="1" x14ac:dyDescent="0.25">
      <c r="A57" s="6" t="s">
        <v>613</v>
      </c>
      <c r="B57" s="7" t="s">
        <v>614</v>
      </c>
      <c r="C57" s="8">
        <v>1</v>
      </c>
      <c r="D57" s="9">
        <v>89.99</v>
      </c>
      <c r="E57" s="8" t="s">
        <v>615</v>
      </c>
      <c r="F57" s="7" t="s">
        <v>3504</v>
      </c>
      <c r="G57" s="10"/>
      <c r="H57" s="7" t="s">
        <v>3424</v>
      </c>
      <c r="I57" s="7" t="s">
        <v>616</v>
      </c>
      <c r="J57" s="7"/>
      <c r="K57" s="7"/>
      <c r="L57" s="11"/>
    </row>
    <row r="58" spans="1:12" ht="39.950000000000003" customHeight="1" x14ac:dyDescent="0.25">
      <c r="A58" s="6" t="s">
        <v>3667</v>
      </c>
      <c r="B58" s="7" t="s">
        <v>3668</v>
      </c>
      <c r="C58" s="8">
        <v>4</v>
      </c>
      <c r="D58" s="9">
        <v>160</v>
      </c>
      <c r="E58" s="8"/>
      <c r="F58" s="7" t="s">
        <v>3610</v>
      </c>
      <c r="G58" s="10" t="s">
        <v>3489</v>
      </c>
      <c r="H58" s="7" t="s">
        <v>3669</v>
      </c>
      <c r="I58" s="7" t="s">
        <v>3670</v>
      </c>
      <c r="J58" s="7"/>
      <c r="K58" s="7"/>
      <c r="L58" s="11"/>
    </row>
    <row r="59" spans="1:12" ht="39.950000000000003" customHeight="1" x14ac:dyDescent="0.25">
      <c r="A59" s="6" t="s">
        <v>617</v>
      </c>
      <c r="B59" s="7" t="s">
        <v>618</v>
      </c>
      <c r="C59" s="8">
        <v>2</v>
      </c>
      <c r="D59" s="9">
        <v>79.98</v>
      </c>
      <c r="E59" s="8" t="s">
        <v>619</v>
      </c>
      <c r="F59" s="7" t="s">
        <v>3832</v>
      </c>
      <c r="G59" s="10" t="s">
        <v>4156</v>
      </c>
      <c r="H59" s="7" t="s">
        <v>3490</v>
      </c>
      <c r="I59" s="7" t="s">
        <v>4354</v>
      </c>
      <c r="J59" s="7"/>
      <c r="K59" s="7"/>
      <c r="L59" s="11"/>
    </row>
    <row r="60" spans="1:12" ht="39.950000000000003" customHeight="1" x14ac:dyDescent="0.25">
      <c r="A60" s="6" t="s">
        <v>620</v>
      </c>
      <c r="B60" s="7" t="s">
        <v>621</v>
      </c>
      <c r="C60" s="8">
        <v>1</v>
      </c>
      <c r="D60" s="9">
        <v>29.99</v>
      </c>
      <c r="E60" s="8" t="s">
        <v>622</v>
      </c>
      <c r="F60" s="7" t="s">
        <v>3541</v>
      </c>
      <c r="G60" s="10" t="s">
        <v>4156</v>
      </c>
      <c r="H60" s="7" t="s">
        <v>3490</v>
      </c>
      <c r="I60" s="7" t="s">
        <v>4157</v>
      </c>
      <c r="J60" s="7"/>
      <c r="K60" s="7"/>
      <c r="L60" s="11"/>
    </row>
    <row r="61" spans="1:12" ht="39.950000000000003" customHeight="1" x14ac:dyDescent="0.25">
      <c r="A61" s="6" t="s">
        <v>623</v>
      </c>
      <c r="B61" s="7" t="s">
        <v>624</v>
      </c>
      <c r="C61" s="8">
        <v>1</v>
      </c>
      <c r="D61" s="9">
        <v>39.99</v>
      </c>
      <c r="E61" s="8">
        <v>100071287</v>
      </c>
      <c r="F61" s="7" t="s">
        <v>3445</v>
      </c>
      <c r="G61" s="10" t="s">
        <v>4156</v>
      </c>
      <c r="H61" s="7" t="s">
        <v>3513</v>
      </c>
      <c r="I61" s="7" t="s">
        <v>4318</v>
      </c>
      <c r="J61" s="7"/>
      <c r="K61" s="7"/>
      <c r="L61" s="11"/>
    </row>
    <row r="62" spans="1:12" ht="39.950000000000003" customHeight="1" x14ac:dyDescent="0.25">
      <c r="A62" s="6" t="s">
        <v>625</v>
      </c>
      <c r="B62" s="7" t="s">
        <v>626</v>
      </c>
      <c r="C62" s="8">
        <v>1</v>
      </c>
      <c r="D62" s="9">
        <v>29.99</v>
      </c>
      <c r="E62" s="8">
        <v>22256122</v>
      </c>
      <c r="F62" s="7"/>
      <c r="G62" s="10"/>
      <c r="H62" s="7" t="s">
        <v>3478</v>
      </c>
      <c r="I62" s="7" t="s">
        <v>3517</v>
      </c>
      <c r="J62" s="7"/>
      <c r="K62" s="7"/>
      <c r="L62" s="11"/>
    </row>
    <row r="63" spans="1:12" ht="39.950000000000003" customHeight="1" x14ac:dyDescent="0.25">
      <c r="A63" s="6" t="s">
        <v>627</v>
      </c>
      <c r="B63" s="7" t="s">
        <v>628</v>
      </c>
      <c r="C63" s="8">
        <v>1</v>
      </c>
      <c r="D63" s="9">
        <v>35.99</v>
      </c>
      <c r="E63" s="8" t="s">
        <v>3673</v>
      </c>
      <c r="F63" s="7" t="s">
        <v>3530</v>
      </c>
      <c r="G63" s="10" t="s">
        <v>3675</v>
      </c>
      <c r="H63" s="7" t="s">
        <v>3676</v>
      </c>
      <c r="I63" s="7" t="s">
        <v>3677</v>
      </c>
      <c r="J63" s="7"/>
      <c r="K63" s="7"/>
      <c r="L63" s="11"/>
    </row>
  </sheetData>
  <phoneticPr fontId="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629</v>
      </c>
      <c r="B2" s="7" t="s">
        <v>630</v>
      </c>
      <c r="C2" s="8">
        <v>1</v>
      </c>
      <c r="D2" s="9">
        <v>539.99</v>
      </c>
      <c r="E2" s="8" t="s">
        <v>631</v>
      </c>
      <c r="F2" s="7" t="s">
        <v>3445</v>
      </c>
      <c r="G2" s="10" t="s">
        <v>3439</v>
      </c>
      <c r="H2" s="7" t="s">
        <v>3676</v>
      </c>
      <c r="I2" s="7" t="s">
        <v>3704</v>
      </c>
      <c r="J2" s="7" t="s">
        <v>3426</v>
      </c>
      <c r="K2" s="7" t="s">
        <v>2596</v>
      </c>
      <c r="L2" s="11" t="str">
        <f>HYPERLINK("http://slimages.macys.com/is/image/MCY/3974563 ")</f>
        <v xml:space="preserve">http://slimages.macys.com/is/image/MCY/3974563 </v>
      </c>
    </row>
    <row r="3" spans="1:12" ht="39.950000000000003" customHeight="1" x14ac:dyDescent="0.25">
      <c r="A3" s="6" t="s">
        <v>632</v>
      </c>
      <c r="B3" s="7" t="s">
        <v>633</v>
      </c>
      <c r="C3" s="8">
        <v>1</v>
      </c>
      <c r="D3" s="9">
        <v>243.99</v>
      </c>
      <c r="E3" s="8">
        <v>61236</v>
      </c>
      <c r="F3" s="7" t="s">
        <v>1988</v>
      </c>
      <c r="G3" s="10"/>
      <c r="H3" s="7" t="s">
        <v>3542</v>
      </c>
      <c r="I3" s="7" t="s">
        <v>634</v>
      </c>
      <c r="J3" s="7" t="s">
        <v>3426</v>
      </c>
      <c r="K3" s="7" t="s">
        <v>3492</v>
      </c>
      <c r="L3" s="11" t="str">
        <f>HYPERLINK("http://slimages.macys.com/is/image/MCY/12248177 ")</f>
        <v xml:space="preserve">http://slimages.macys.com/is/image/MCY/12248177 </v>
      </c>
    </row>
    <row r="4" spans="1:12" ht="39.950000000000003" customHeight="1" x14ac:dyDescent="0.25">
      <c r="A4" s="6" t="s">
        <v>2753</v>
      </c>
      <c r="B4" s="7" t="s">
        <v>2754</v>
      </c>
      <c r="C4" s="8">
        <v>1</v>
      </c>
      <c r="D4" s="9">
        <v>78.11</v>
      </c>
      <c r="E4" s="8" t="s">
        <v>2755</v>
      </c>
      <c r="F4" s="7"/>
      <c r="G4" s="10"/>
      <c r="H4" s="7" t="s">
        <v>3676</v>
      </c>
      <c r="I4" s="7" t="s">
        <v>3704</v>
      </c>
      <c r="J4" s="7" t="s">
        <v>3426</v>
      </c>
      <c r="K4" s="7" t="s">
        <v>2596</v>
      </c>
      <c r="L4" s="11" t="str">
        <f>HYPERLINK("http://slimages.macys.com/is/image/MCY/3969345 ")</f>
        <v xml:space="preserve">http://slimages.macys.com/is/image/MCY/3969345 </v>
      </c>
    </row>
    <row r="5" spans="1:12" ht="39.950000000000003" customHeight="1" x14ac:dyDescent="0.25">
      <c r="A5" s="6" t="s">
        <v>635</v>
      </c>
      <c r="B5" s="7" t="s">
        <v>636</v>
      </c>
      <c r="C5" s="8">
        <v>1</v>
      </c>
      <c r="D5" s="9">
        <v>179.99</v>
      </c>
      <c r="E5" s="8">
        <v>82222</v>
      </c>
      <c r="F5" s="7" t="s">
        <v>3463</v>
      </c>
      <c r="G5" s="10"/>
      <c r="H5" s="7" t="s">
        <v>3478</v>
      </c>
      <c r="I5" s="7" t="s">
        <v>3479</v>
      </c>
      <c r="J5" s="7"/>
      <c r="K5" s="7"/>
      <c r="L5" s="11" t="str">
        <f>HYPERLINK("http://slimages.macys.com/is/image/MCY/17257930 ")</f>
        <v xml:space="preserve">http://slimages.macys.com/is/image/MCY/17257930 </v>
      </c>
    </row>
    <row r="6" spans="1:12" ht="39.950000000000003" customHeight="1" x14ac:dyDescent="0.25">
      <c r="A6" s="6" t="s">
        <v>637</v>
      </c>
      <c r="B6" s="7" t="s">
        <v>638</v>
      </c>
      <c r="C6" s="8">
        <v>1</v>
      </c>
      <c r="D6" s="9">
        <v>199.99</v>
      </c>
      <c r="E6" s="8" t="s">
        <v>639</v>
      </c>
      <c r="F6" s="7" t="s">
        <v>4022</v>
      </c>
      <c r="G6" s="10"/>
      <c r="H6" s="7" t="s">
        <v>3440</v>
      </c>
      <c r="I6" s="7" t="s">
        <v>3441</v>
      </c>
      <c r="J6" s="7" t="s">
        <v>3426</v>
      </c>
      <c r="K6" s="7" t="s">
        <v>640</v>
      </c>
      <c r="L6" s="11" t="str">
        <f>HYPERLINK("http://slimages.macys.com/is/image/MCY/15495844 ")</f>
        <v xml:space="preserve">http://slimages.macys.com/is/image/MCY/15495844 </v>
      </c>
    </row>
    <row r="7" spans="1:12" ht="39.950000000000003" customHeight="1" x14ac:dyDescent="0.25">
      <c r="A7" s="6" t="s">
        <v>1800</v>
      </c>
      <c r="B7" s="7" t="s">
        <v>1801</v>
      </c>
      <c r="C7" s="8">
        <v>1</v>
      </c>
      <c r="D7" s="9">
        <v>169.99</v>
      </c>
      <c r="E7" s="8" t="s">
        <v>1802</v>
      </c>
      <c r="F7" s="7" t="s">
        <v>3445</v>
      </c>
      <c r="G7" s="10"/>
      <c r="H7" s="7" t="s">
        <v>3458</v>
      </c>
      <c r="I7" s="7" t="s">
        <v>1697</v>
      </c>
      <c r="J7" s="7"/>
      <c r="K7" s="7"/>
      <c r="L7" s="11" t="str">
        <f>HYPERLINK("http://slimages.macys.com/is/image/MCY/17424765 ")</f>
        <v xml:space="preserve">http://slimages.macys.com/is/image/MCY/17424765 </v>
      </c>
    </row>
    <row r="8" spans="1:12" ht="39.950000000000003" customHeight="1" x14ac:dyDescent="0.25">
      <c r="A8" s="6" t="s">
        <v>641</v>
      </c>
      <c r="B8" s="7" t="s">
        <v>642</v>
      </c>
      <c r="C8" s="8">
        <v>1</v>
      </c>
      <c r="D8" s="9">
        <v>129.99</v>
      </c>
      <c r="E8" s="8" t="s">
        <v>643</v>
      </c>
      <c r="F8" s="7" t="s">
        <v>3431</v>
      </c>
      <c r="G8" s="10"/>
      <c r="H8" s="7" t="s">
        <v>3432</v>
      </c>
      <c r="I8" s="7" t="s">
        <v>644</v>
      </c>
      <c r="J8" s="7" t="s">
        <v>3426</v>
      </c>
      <c r="K8" s="7" t="s">
        <v>645</v>
      </c>
      <c r="L8" s="11" t="str">
        <f>HYPERLINK("http://slimages.macys.com/is/image/MCY/10432078 ")</f>
        <v xml:space="preserve">http://slimages.macys.com/is/image/MCY/10432078 </v>
      </c>
    </row>
    <row r="9" spans="1:12" ht="39.950000000000003" customHeight="1" x14ac:dyDescent="0.25">
      <c r="A9" s="6" t="s">
        <v>646</v>
      </c>
      <c r="B9" s="7" t="s">
        <v>647</v>
      </c>
      <c r="C9" s="8">
        <v>1</v>
      </c>
      <c r="D9" s="9">
        <v>139.99</v>
      </c>
      <c r="E9" s="8" t="s">
        <v>648</v>
      </c>
      <c r="F9" s="7" t="s">
        <v>3445</v>
      </c>
      <c r="G9" s="10"/>
      <c r="H9" s="7" t="s">
        <v>3458</v>
      </c>
      <c r="I9" s="7" t="s">
        <v>3459</v>
      </c>
      <c r="J9" s="7" t="s">
        <v>3426</v>
      </c>
      <c r="K9" s="7" t="s">
        <v>3556</v>
      </c>
      <c r="L9" s="11" t="str">
        <f>HYPERLINK("http://slimages.macys.com/is/image/MCY/11607139 ")</f>
        <v xml:space="preserve">http://slimages.macys.com/is/image/MCY/11607139 </v>
      </c>
    </row>
    <row r="10" spans="1:12" ht="39.950000000000003" customHeight="1" x14ac:dyDescent="0.25">
      <c r="A10" s="6" t="s">
        <v>649</v>
      </c>
      <c r="B10" s="7" t="s">
        <v>650</v>
      </c>
      <c r="C10" s="8">
        <v>1</v>
      </c>
      <c r="D10" s="9">
        <v>119.99</v>
      </c>
      <c r="E10" s="8" t="s">
        <v>651</v>
      </c>
      <c r="F10" s="7" t="s">
        <v>3431</v>
      </c>
      <c r="G10" s="10"/>
      <c r="H10" s="7" t="s">
        <v>3424</v>
      </c>
      <c r="I10" s="7" t="s">
        <v>652</v>
      </c>
      <c r="J10" s="7" t="s">
        <v>3426</v>
      </c>
      <c r="K10" s="7" t="s">
        <v>3556</v>
      </c>
      <c r="L10" s="11" t="str">
        <f>HYPERLINK("http://slimages.macys.com/is/image/MCY/15272032 ")</f>
        <v xml:space="preserve">http://slimages.macys.com/is/image/MCY/15272032 </v>
      </c>
    </row>
    <row r="11" spans="1:12" ht="39.950000000000003" customHeight="1" x14ac:dyDescent="0.25">
      <c r="A11" s="6" t="s">
        <v>653</v>
      </c>
      <c r="B11" s="7" t="s">
        <v>654</v>
      </c>
      <c r="C11" s="8">
        <v>1</v>
      </c>
      <c r="D11" s="9">
        <v>99.99</v>
      </c>
      <c r="E11" s="8" t="s">
        <v>655</v>
      </c>
      <c r="F11" s="7" t="s">
        <v>2278</v>
      </c>
      <c r="G11" s="10"/>
      <c r="H11" s="7" t="s">
        <v>3568</v>
      </c>
      <c r="I11" s="7" t="s">
        <v>4388</v>
      </c>
      <c r="J11" s="7" t="s">
        <v>3426</v>
      </c>
      <c r="K11" s="7"/>
      <c r="L11" s="11" t="str">
        <f>HYPERLINK("http://slimages.macys.com/is/image/MCY/11241738 ")</f>
        <v xml:space="preserve">http://slimages.macys.com/is/image/MCY/11241738 </v>
      </c>
    </row>
    <row r="12" spans="1:12" ht="39.950000000000003" customHeight="1" x14ac:dyDescent="0.25">
      <c r="A12" s="6" t="s">
        <v>656</v>
      </c>
      <c r="B12" s="7" t="s">
        <v>657</v>
      </c>
      <c r="C12" s="8">
        <v>1</v>
      </c>
      <c r="D12" s="9">
        <v>99.99</v>
      </c>
      <c r="E12" s="8" t="s">
        <v>658</v>
      </c>
      <c r="F12" s="7" t="s">
        <v>3445</v>
      </c>
      <c r="G12" s="10" t="s">
        <v>3512</v>
      </c>
      <c r="H12" s="7" t="s">
        <v>3424</v>
      </c>
      <c r="I12" s="7" t="s">
        <v>3508</v>
      </c>
      <c r="J12" s="7" t="s">
        <v>3426</v>
      </c>
      <c r="K12" s="7"/>
      <c r="L12" s="11" t="str">
        <f>HYPERLINK("http://slimages.macys.com/is/image/MCY/8770482 ")</f>
        <v xml:space="preserve">http://slimages.macys.com/is/image/MCY/8770482 </v>
      </c>
    </row>
    <row r="13" spans="1:12" ht="39.950000000000003" customHeight="1" x14ac:dyDescent="0.25">
      <c r="A13" s="6" t="s">
        <v>659</v>
      </c>
      <c r="B13" s="7" t="s">
        <v>660</v>
      </c>
      <c r="C13" s="8">
        <v>1</v>
      </c>
      <c r="D13" s="9">
        <v>119.99</v>
      </c>
      <c r="E13" s="8" t="s">
        <v>661</v>
      </c>
      <c r="F13" s="7" t="s">
        <v>3463</v>
      </c>
      <c r="G13" s="10"/>
      <c r="H13" s="7" t="s">
        <v>3572</v>
      </c>
      <c r="I13" s="7" t="s">
        <v>2478</v>
      </c>
      <c r="J13" s="7"/>
      <c r="K13" s="7"/>
      <c r="L13" s="11" t="str">
        <f>HYPERLINK("http://slimages.macys.com/is/image/MCY/18491886 ")</f>
        <v xml:space="preserve">http://slimages.macys.com/is/image/MCY/18491886 </v>
      </c>
    </row>
    <row r="14" spans="1:12" ht="39.950000000000003" customHeight="1" x14ac:dyDescent="0.25">
      <c r="A14" s="6" t="s">
        <v>662</v>
      </c>
      <c r="B14" s="7" t="s">
        <v>663</v>
      </c>
      <c r="C14" s="8">
        <v>1</v>
      </c>
      <c r="D14" s="9">
        <v>129.99</v>
      </c>
      <c r="E14" s="8" t="s">
        <v>664</v>
      </c>
      <c r="F14" s="7" t="s">
        <v>3720</v>
      </c>
      <c r="G14" s="10"/>
      <c r="H14" s="7" t="s">
        <v>3458</v>
      </c>
      <c r="I14" s="7" t="s">
        <v>3459</v>
      </c>
      <c r="J14" s="7" t="s">
        <v>3426</v>
      </c>
      <c r="K14" s="7" t="s">
        <v>665</v>
      </c>
      <c r="L14" s="11" t="str">
        <f>HYPERLINK("http://slimages.macys.com/is/image/MCY/8433239 ")</f>
        <v xml:space="preserve">http://slimages.macys.com/is/image/MCY/8433239 </v>
      </c>
    </row>
    <row r="15" spans="1:12" ht="39.950000000000003" customHeight="1" x14ac:dyDescent="0.25">
      <c r="A15" s="6" t="s">
        <v>1932</v>
      </c>
      <c r="B15" s="7" t="s">
        <v>1933</v>
      </c>
      <c r="C15" s="8">
        <v>1</v>
      </c>
      <c r="D15" s="9">
        <v>99.99</v>
      </c>
      <c r="E15" s="8" t="s">
        <v>1934</v>
      </c>
      <c r="F15" s="7" t="s">
        <v>3511</v>
      </c>
      <c r="G15" s="10"/>
      <c r="H15" s="7" t="s">
        <v>3467</v>
      </c>
      <c r="I15" s="7" t="s">
        <v>2922</v>
      </c>
      <c r="J15" s="7"/>
      <c r="K15" s="7"/>
      <c r="L15" s="11" t="str">
        <f>HYPERLINK("http://slimages.macys.com/is/image/MCY/17662624 ")</f>
        <v xml:space="preserve">http://slimages.macys.com/is/image/MCY/17662624 </v>
      </c>
    </row>
    <row r="16" spans="1:12" ht="39.950000000000003" customHeight="1" x14ac:dyDescent="0.25">
      <c r="A16" s="6" t="s">
        <v>666</v>
      </c>
      <c r="B16" s="7" t="s">
        <v>667</v>
      </c>
      <c r="C16" s="8">
        <v>1</v>
      </c>
      <c r="D16" s="9">
        <v>99.99</v>
      </c>
      <c r="E16" s="8" t="s">
        <v>668</v>
      </c>
      <c r="F16" s="7" t="s">
        <v>4304</v>
      </c>
      <c r="G16" s="10"/>
      <c r="H16" s="7" t="s">
        <v>3467</v>
      </c>
      <c r="I16" s="7" t="s">
        <v>4333</v>
      </c>
      <c r="J16" s="7"/>
      <c r="K16" s="7"/>
      <c r="L16" s="11" t="str">
        <f>HYPERLINK("http://slimages.macys.com/is/image/MCY/17662979 ")</f>
        <v xml:space="preserve">http://slimages.macys.com/is/image/MCY/17662979 </v>
      </c>
    </row>
    <row r="17" spans="1:12" ht="39.950000000000003" customHeight="1" x14ac:dyDescent="0.25">
      <c r="A17" s="6" t="s">
        <v>669</v>
      </c>
      <c r="B17" s="7" t="s">
        <v>670</v>
      </c>
      <c r="C17" s="8">
        <v>1</v>
      </c>
      <c r="D17" s="9">
        <v>88.99</v>
      </c>
      <c r="E17" s="8" t="s">
        <v>671</v>
      </c>
      <c r="F17" s="7" t="s">
        <v>4096</v>
      </c>
      <c r="G17" s="10"/>
      <c r="H17" s="7" t="s">
        <v>3478</v>
      </c>
      <c r="I17" s="7" t="s">
        <v>3553</v>
      </c>
      <c r="J17" s="7" t="s">
        <v>3426</v>
      </c>
      <c r="K17" s="7" t="s">
        <v>672</v>
      </c>
      <c r="L17" s="11" t="str">
        <f>HYPERLINK("http://slimages.macys.com/is/image/MCY/14430241 ")</f>
        <v xml:space="preserve">http://slimages.macys.com/is/image/MCY/14430241 </v>
      </c>
    </row>
    <row r="18" spans="1:12" ht="39.950000000000003" customHeight="1" x14ac:dyDescent="0.25">
      <c r="A18" s="6" t="s">
        <v>1952</v>
      </c>
      <c r="B18" s="7" t="s">
        <v>1953</v>
      </c>
      <c r="C18" s="8">
        <v>1</v>
      </c>
      <c r="D18" s="9">
        <v>78.11</v>
      </c>
      <c r="E18" s="8" t="s">
        <v>1954</v>
      </c>
      <c r="F18" s="7"/>
      <c r="G18" s="10"/>
      <c r="H18" s="7" t="s">
        <v>3654</v>
      </c>
      <c r="I18" s="7" t="s">
        <v>3655</v>
      </c>
      <c r="J18" s="7" t="s">
        <v>3426</v>
      </c>
      <c r="K18" s="7" t="s">
        <v>1955</v>
      </c>
      <c r="L18" s="11" t="str">
        <f>HYPERLINK("http://slimages.macys.com/is/image/MCY/2987002 ")</f>
        <v xml:space="preserve">http://slimages.macys.com/is/image/MCY/2987002 </v>
      </c>
    </row>
    <row r="19" spans="1:12" ht="39.950000000000003" customHeight="1" x14ac:dyDescent="0.25">
      <c r="A19" s="6" t="s">
        <v>673</v>
      </c>
      <c r="B19" s="7" t="s">
        <v>674</v>
      </c>
      <c r="C19" s="8">
        <v>1</v>
      </c>
      <c r="D19" s="9">
        <v>89.99</v>
      </c>
      <c r="E19" s="8" t="s">
        <v>675</v>
      </c>
      <c r="F19" s="7" t="s">
        <v>3445</v>
      </c>
      <c r="G19" s="10"/>
      <c r="H19" s="7" t="s">
        <v>3467</v>
      </c>
      <c r="I19" s="7" t="s">
        <v>4333</v>
      </c>
      <c r="J19" s="7" t="s">
        <v>3426</v>
      </c>
      <c r="K19" s="7" t="s">
        <v>3469</v>
      </c>
      <c r="L19" s="11" t="str">
        <f>HYPERLINK("http://slimages.macys.com/is/image/MCY/13417209 ")</f>
        <v xml:space="preserve">http://slimages.macys.com/is/image/MCY/13417209 </v>
      </c>
    </row>
    <row r="20" spans="1:12" ht="39.950000000000003" customHeight="1" x14ac:dyDescent="0.25">
      <c r="A20" s="6" t="s">
        <v>676</v>
      </c>
      <c r="B20" s="7" t="s">
        <v>677</v>
      </c>
      <c r="C20" s="8">
        <v>1</v>
      </c>
      <c r="D20" s="9">
        <v>69.989999999999995</v>
      </c>
      <c r="E20" s="8" t="s">
        <v>678</v>
      </c>
      <c r="F20" s="7" t="s">
        <v>3431</v>
      </c>
      <c r="G20" s="10"/>
      <c r="H20" s="7" t="s">
        <v>3452</v>
      </c>
      <c r="I20" s="7" t="s">
        <v>3834</v>
      </c>
      <c r="J20" s="7" t="s">
        <v>3426</v>
      </c>
      <c r="K20" s="7" t="s">
        <v>3556</v>
      </c>
      <c r="L20" s="11" t="str">
        <f>HYPERLINK("http://slimages.macys.com/is/image/MCY/14573998 ")</f>
        <v xml:space="preserve">http://slimages.macys.com/is/image/MCY/14573998 </v>
      </c>
    </row>
    <row r="21" spans="1:12" ht="39.950000000000003" customHeight="1" x14ac:dyDescent="0.25">
      <c r="A21" s="6" t="s">
        <v>679</v>
      </c>
      <c r="B21" s="7" t="s">
        <v>680</v>
      </c>
      <c r="C21" s="8">
        <v>1</v>
      </c>
      <c r="D21" s="9">
        <v>74.989999999999995</v>
      </c>
      <c r="E21" s="8">
        <v>60897</v>
      </c>
      <c r="F21" s="7" t="s">
        <v>3445</v>
      </c>
      <c r="G21" s="10"/>
      <c r="H21" s="7" t="s">
        <v>3559</v>
      </c>
      <c r="I21" s="7" t="s">
        <v>3560</v>
      </c>
      <c r="J21" s="7" t="s">
        <v>3564</v>
      </c>
      <c r="K21" s="7" t="s">
        <v>681</v>
      </c>
      <c r="L21" s="11" t="str">
        <f>HYPERLINK("http://slimages.macys.com/is/image/MCY/13359209 ")</f>
        <v xml:space="preserve">http://slimages.macys.com/is/image/MCY/13359209 </v>
      </c>
    </row>
    <row r="22" spans="1:12" ht="39.950000000000003" customHeight="1" x14ac:dyDescent="0.25">
      <c r="A22" s="6" t="s">
        <v>682</v>
      </c>
      <c r="B22" s="7" t="s">
        <v>683</v>
      </c>
      <c r="C22" s="8">
        <v>1</v>
      </c>
      <c r="D22" s="9">
        <v>69.989999999999995</v>
      </c>
      <c r="E22" s="8" t="s">
        <v>684</v>
      </c>
      <c r="F22" s="7" t="s">
        <v>3431</v>
      </c>
      <c r="G22" s="10"/>
      <c r="H22" s="7" t="s">
        <v>3452</v>
      </c>
      <c r="I22" s="7" t="s">
        <v>3834</v>
      </c>
      <c r="J22" s="7" t="s">
        <v>3426</v>
      </c>
      <c r="K22" s="7" t="s">
        <v>3556</v>
      </c>
      <c r="L22" s="11" t="str">
        <f>HYPERLINK("http://slimages.macys.com/is/image/MCY/17754899 ")</f>
        <v xml:space="preserve">http://slimages.macys.com/is/image/MCY/17754899 </v>
      </c>
    </row>
    <row r="23" spans="1:12" ht="39.950000000000003" customHeight="1" x14ac:dyDescent="0.25">
      <c r="A23" s="6" t="s">
        <v>685</v>
      </c>
      <c r="B23" s="7" t="s">
        <v>686</v>
      </c>
      <c r="C23" s="8">
        <v>1</v>
      </c>
      <c r="D23" s="9">
        <v>54.99</v>
      </c>
      <c r="E23" s="8" t="s">
        <v>687</v>
      </c>
      <c r="F23" s="7" t="s">
        <v>4313</v>
      </c>
      <c r="G23" s="10"/>
      <c r="H23" s="7" t="s">
        <v>3478</v>
      </c>
      <c r="I23" s="7" t="s">
        <v>688</v>
      </c>
      <c r="J23" s="7" t="s">
        <v>3426</v>
      </c>
      <c r="K23" s="7" t="s">
        <v>689</v>
      </c>
      <c r="L23" s="11" t="str">
        <f>HYPERLINK("http://slimages.macys.com/is/image/MCY/10385405 ")</f>
        <v xml:space="preserve">http://slimages.macys.com/is/image/MCY/10385405 </v>
      </c>
    </row>
    <row r="24" spans="1:12" ht="39.950000000000003" customHeight="1" x14ac:dyDescent="0.25">
      <c r="A24" s="6" t="s">
        <v>690</v>
      </c>
      <c r="B24" s="7" t="s">
        <v>691</v>
      </c>
      <c r="C24" s="8">
        <v>1</v>
      </c>
      <c r="D24" s="9">
        <v>59.99</v>
      </c>
      <c r="E24" s="8" t="s">
        <v>692</v>
      </c>
      <c r="F24" s="7" t="s">
        <v>4096</v>
      </c>
      <c r="G24" s="10"/>
      <c r="H24" s="7" t="s">
        <v>3478</v>
      </c>
      <c r="I24" s="7" t="s">
        <v>3553</v>
      </c>
      <c r="J24" s="7" t="s">
        <v>3426</v>
      </c>
      <c r="K24" s="7" t="s">
        <v>693</v>
      </c>
      <c r="L24" s="11" t="str">
        <f>HYPERLINK("http://slimages.macys.com/is/image/MCY/9812356 ")</f>
        <v xml:space="preserve">http://slimages.macys.com/is/image/MCY/9812356 </v>
      </c>
    </row>
    <row r="25" spans="1:12" ht="39.950000000000003" customHeight="1" x14ac:dyDescent="0.25">
      <c r="A25" s="6" t="s">
        <v>694</v>
      </c>
      <c r="B25" s="7" t="s">
        <v>695</v>
      </c>
      <c r="C25" s="8">
        <v>1</v>
      </c>
      <c r="D25" s="9">
        <v>69.989999999999995</v>
      </c>
      <c r="E25" s="8" t="s">
        <v>696</v>
      </c>
      <c r="F25" s="7" t="s">
        <v>4047</v>
      </c>
      <c r="G25" s="10"/>
      <c r="H25" s="7" t="s">
        <v>3452</v>
      </c>
      <c r="I25" s="7" t="s">
        <v>3834</v>
      </c>
      <c r="J25" s="7" t="s">
        <v>3426</v>
      </c>
      <c r="K25" s="7" t="s">
        <v>3556</v>
      </c>
      <c r="L25" s="11" t="str">
        <f>HYPERLINK("http://slimages.macys.com/is/image/MCY/17754899 ")</f>
        <v xml:space="preserve">http://slimages.macys.com/is/image/MCY/17754899 </v>
      </c>
    </row>
    <row r="26" spans="1:12" ht="39.950000000000003" customHeight="1" x14ac:dyDescent="0.25">
      <c r="A26" s="6" t="s">
        <v>697</v>
      </c>
      <c r="B26" s="7" t="s">
        <v>698</v>
      </c>
      <c r="C26" s="8">
        <v>1</v>
      </c>
      <c r="D26" s="9">
        <v>49.99</v>
      </c>
      <c r="E26" s="8">
        <v>55855</v>
      </c>
      <c r="F26" s="7" t="s">
        <v>699</v>
      </c>
      <c r="G26" s="10"/>
      <c r="H26" s="7" t="s">
        <v>3490</v>
      </c>
      <c r="I26" s="7" t="s">
        <v>3649</v>
      </c>
      <c r="J26" s="7" t="s">
        <v>3426</v>
      </c>
      <c r="K26" s="7" t="s">
        <v>3518</v>
      </c>
      <c r="L26" s="11" t="str">
        <f>HYPERLINK("http://slimages.macys.com/is/image/MCY/13584046 ")</f>
        <v xml:space="preserve">http://slimages.macys.com/is/image/MCY/13584046 </v>
      </c>
    </row>
    <row r="27" spans="1:12" ht="39.950000000000003" customHeight="1" x14ac:dyDescent="0.25">
      <c r="A27" s="6" t="s">
        <v>700</v>
      </c>
      <c r="B27" s="7" t="s">
        <v>701</v>
      </c>
      <c r="C27" s="8">
        <v>1</v>
      </c>
      <c r="D27" s="9">
        <v>59.99</v>
      </c>
      <c r="E27" s="8" t="s">
        <v>702</v>
      </c>
      <c r="F27" s="7" t="s">
        <v>4167</v>
      </c>
      <c r="G27" s="10"/>
      <c r="H27" s="7" t="s">
        <v>3688</v>
      </c>
      <c r="I27" s="7" t="s">
        <v>703</v>
      </c>
      <c r="J27" s="7" t="s">
        <v>3613</v>
      </c>
      <c r="K27" s="7" t="s">
        <v>3492</v>
      </c>
      <c r="L27" s="11" t="str">
        <f>HYPERLINK("http://slimages.macys.com/is/image/MCY/11079910 ")</f>
        <v xml:space="preserve">http://slimages.macys.com/is/image/MCY/11079910 </v>
      </c>
    </row>
    <row r="28" spans="1:12" ht="39.950000000000003" customHeight="1" x14ac:dyDescent="0.25">
      <c r="A28" s="6" t="s">
        <v>704</v>
      </c>
      <c r="B28" s="7" t="s">
        <v>705</v>
      </c>
      <c r="C28" s="8">
        <v>1</v>
      </c>
      <c r="D28" s="9">
        <v>49.99</v>
      </c>
      <c r="E28" s="8" t="s">
        <v>706</v>
      </c>
      <c r="F28" s="7" t="s">
        <v>3530</v>
      </c>
      <c r="G28" s="10"/>
      <c r="H28" s="7" t="s">
        <v>3452</v>
      </c>
      <c r="I28" s="7" t="s">
        <v>3834</v>
      </c>
      <c r="J28" s="7" t="s">
        <v>3426</v>
      </c>
      <c r="K28" s="7" t="s">
        <v>3556</v>
      </c>
      <c r="L28" s="11" t="str">
        <f>HYPERLINK("http://slimages.macys.com/is/image/MCY/17754899 ")</f>
        <v xml:space="preserve">http://slimages.macys.com/is/image/MCY/17754899 </v>
      </c>
    </row>
    <row r="29" spans="1:12" ht="39.950000000000003" customHeight="1" x14ac:dyDescent="0.25">
      <c r="A29" s="6" t="s">
        <v>707</v>
      </c>
      <c r="B29" s="7" t="s">
        <v>708</v>
      </c>
      <c r="C29" s="8">
        <v>1</v>
      </c>
      <c r="D29" s="9">
        <v>53.99</v>
      </c>
      <c r="E29" s="8" t="s">
        <v>709</v>
      </c>
      <c r="F29" s="7" t="s">
        <v>3445</v>
      </c>
      <c r="G29" s="10" t="s">
        <v>3773</v>
      </c>
      <c r="H29" s="7" t="s">
        <v>3559</v>
      </c>
      <c r="I29" s="7" t="s">
        <v>3756</v>
      </c>
      <c r="J29" s="7" t="s">
        <v>3426</v>
      </c>
      <c r="K29" s="7" t="s">
        <v>3811</v>
      </c>
      <c r="L29" s="11" t="str">
        <f>HYPERLINK("http://slimages.macys.com/is/image/MCY/11798755 ")</f>
        <v xml:space="preserve">http://slimages.macys.com/is/image/MCY/11798755 </v>
      </c>
    </row>
    <row r="30" spans="1:12" ht="39.950000000000003" customHeight="1" x14ac:dyDescent="0.25">
      <c r="A30" s="6" t="s">
        <v>710</v>
      </c>
      <c r="B30" s="7" t="s">
        <v>711</v>
      </c>
      <c r="C30" s="8">
        <v>1</v>
      </c>
      <c r="D30" s="9">
        <v>40.99</v>
      </c>
      <c r="E30" s="8" t="s">
        <v>712</v>
      </c>
      <c r="F30" s="7" t="s">
        <v>1988</v>
      </c>
      <c r="G30" s="10"/>
      <c r="H30" s="7" t="s">
        <v>3542</v>
      </c>
      <c r="I30" s="7" t="s">
        <v>4374</v>
      </c>
      <c r="J30" s="7" t="s">
        <v>3426</v>
      </c>
      <c r="K30" s="7" t="s">
        <v>713</v>
      </c>
      <c r="L30" s="11" t="str">
        <f>HYPERLINK("http://slimages.macys.com/is/image/MCY/10797928 ")</f>
        <v xml:space="preserve">http://slimages.macys.com/is/image/MCY/10797928 </v>
      </c>
    </row>
    <row r="31" spans="1:12" ht="39.950000000000003" customHeight="1" x14ac:dyDescent="0.25">
      <c r="A31" s="6" t="s">
        <v>714</v>
      </c>
      <c r="B31" s="7" t="s">
        <v>715</v>
      </c>
      <c r="C31" s="8">
        <v>1</v>
      </c>
      <c r="D31" s="9">
        <v>49.99</v>
      </c>
      <c r="E31" s="8">
        <v>22366238</v>
      </c>
      <c r="F31" s="7" t="s">
        <v>3496</v>
      </c>
      <c r="G31" s="10"/>
      <c r="H31" s="7" t="s">
        <v>3542</v>
      </c>
      <c r="I31" s="7" t="s">
        <v>3517</v>
      </c>
      <c r="J31" s="7"/>
      <c r="K31" s="7"/>
      <c r="L31" s="11" t="str">
        <f>HYPERLINK("http://slimages.macys.com/is/image/MCY/17191784 ")</f>
        <v xml:space="preserve">http://slimages.macys.com/is/image/MCY/17191784 </v>
      </c>
    </row>
    <row r="32" spans="1:12" ht="39.950000000000003" customHeight="1" x14ac:dyDescent="0.25">
      <c r="A32" s="6" t="s">
        <v>716</v>
      </c>
      <c r="B32" s="7" t="s">
        <v>717</v>
      </c>
      <c r="C32" s="8">
        <v>1</v>
      </c>
      <c r="D32" s="9">
        <v>78.11</v>
      </c>
      <c r="E32" s="8">
        <v>64226</v>
      </c>
      <c r="F32" s="7"/>
      <c r="G32" s="10"/>
      <c r="H32" s="7" t="s">
        <v>3559</v>
      </c>
      <c r="I32" s="7" t="s">
        <v>3560</v>
      </c>
      <c r="J32" s="7"/>
      <c r="K32" s="7"/>
      <c r="L32" s="11" t="str">
        <f>HYPERLINK("http://slimages.macys.com/is/image/MCY/17406224 ")</f>
        <v xml:space="preserve">http://slimages.macys.com/is/image/MCY/17406224 </v>
      </c>
    </row>
    <row r="33" spans="1:12" ht="39.950000000000003" customHeight="1" x14ac:dyDescent="0.25">
      <c r="A33" s="6" t="s">
        <v>718</v>
      </c>
      <c r="B33" s="7" t="s">
        <v>719</v>
      </c>
      <c r="C33" s="8">
        <v>2</v>
      </c>
      <c r="D33" s="9">
        <v>159.97999999999999</v>
      </c>
      <c r="E33" s="8" t="s">
        <v>720</v>
      </c>
      <c r="F33" s="7" t="s">
        <v>3445</v>
      </c>
      <c r="G33" s="10"/>
      <c r="H33" s="7" t="s">
        <v>3440</v>
      </c>
      <c r="I33" s="7" t="s">
        <v>4036</v>
      </c>
      <c r="J33" s="7"/>
      <c r="K33" s="7"/>
      <c r="L33" s="11" t="str">
        <f>HYPERLINK("http://slimages.macys.com/is/image/MCY/17481084 ")</f>
        <v xml:space="preserve">http://slimages.macys.com/is/image/MCY/17481084 </v>
      </c>
    </row>
    <row r="34" spans="1:12" ht="39.950000000000003" customHeight="1" x14ac:dyDescent="0.25">
      <c r="A34" s="6" t="s">
        <v>721</v>
      </c>
      <c r="B34" s="7" t="s">
        <v>722</v>
      </c>
      <c r="C34" s="8">
        <v>1</v>
      </c>
      <c r="D34" s="9">
        <v>62.99</v>
      </c>
      <c r="E34" s="8" t="s">
        <v>723</v>
      </c>
      <c r="F34" s="7" t="s">
        <v>3431</v>
      </c>
      <c r="G34" s="10"/>
      <c r="H34" s="7" t="s">
        <v>3490</v>
      </c>
      <c r="I34" s="7" t="s">
        <v>3553</v>
      </c>
      <c r="J34" s="7" t="s">
        <v>3426</v>
      </c>
      <c r="K34" s="7" t="s">
        <v>724</v>
      </c>
      <c r="L34" s="11" t="str">
        <f>HYPERLINK("http://slimages.macys.com/is/image/MCY/12490277 ")</f>
        <v xml:space="preserve">http://slimages.macys.com/is/image/MCY/12490277 </v>
      </c>
    </row>
    <row r="35" spans="1:12" ht="39.950000000000003" customHeight="1" x14ac:dyDescent="0.25">
      <c r="A35" s="6" t="s">
        <v>725</v>
      </c>
      <c r="B35" s="7" t="s">
        <v>726</v>
      </c>
      <c r="C35" s="8">
        <v>1</v>
      </c>
      <c r="D35" s="9">
        <v>29.99</v>
      </c>
      <c r="E35" s="8" t="s">
        <v>727</v>
      </c>
      <c r="F35" s="7" t="s">
        <v>3484</v>
      </c>
      <c r="G35" s="10" t="s">
        <v>3489</v>
      </c>
      <c r="H35" s="7" t="s">
        <v>3583</v>
      </c>
      <c r="I35" s="7" t="s">
        <v>728</v>
      </c>
      <c r="J35" s="7" t="s">
        <v>3426</v>
      </c>
      <c r="K35" s="7"/>
      <c r="L35" s="11" t="str">
        <f>HYPERLINK("http://slimages.macys.com/is/image/MCY/8770751 ")</f>
        <v xml:space="preserve">http://slimages.macys.com/is/image/MCY/8770751 </v>
      </c>
    </row>
    <row r="36" spans="1:12" ht="39.950000000000003" customHeight="1" x14ac:dyDescent="0.25">
      <c r="A36" s="6" t="s">
        <v>729</v>
      </c>
      <c r="B36" s="7" t="s">
        <v>730</v>
      </c>
      <c r="C36" s="8">
        <v>1</v>
      </c>
      <c r="D36" s="9">
        <v>34.99</v>
      </c>
      <c r="E36" s="8">
        <v>56604</v>
      </c>
      <c r="F36" s="7" t="s">
        <v>3511</v>
      </c>
      <c r="G36" s="10"/>
      <c r="H36" s="7" t="s">
        <v>3490</v>
      </c>
      <c r="I36" s="7" t="s">
        <v>3649</v>
      </c>
      <c r="J36" s="7" t="s">
        <v>3426</v>
      </c>
      <c r="K36" s="7" t="s">
        <v>3518</v>
      </c>
      <c r="L36" s="11" t="str">
        <f>HYPERLINK("http://slimages.macys.com/is/image/MCY/16060554 ")</f>
        <v xml:space="preserve">http://slimages.macys.com/is/image/MCY/16060554 </v>
      </c>
    </row>
    <row r="37" spans="1:12" ht="39.950000000000003" customHeight="1" x14ac:dyDescent="0.25">
      <c r="A37" s="6" t="s">
        <v>731</v>
      </c>
      <c r="B37" s="7" t="s">
        <v>732</v>
      </c>
      <c r="C37" s="8">
        <v>1</v>
      </c>
      <c r="D37" s="9">
        <v>38.99</v>
      </c>
      <c r="E37" s="8">
        <v>52501438516</v>
      </c>
      <c r="F37" s="7" t="s">
        <v>3755</v>
      </c>
      <c r="G37" s="10" t="s">
        <v>3489</v>
      </c>
      <c r="H37" s="7" t="s">
        <v>3432</v>
      </c>
      <c r="I37" s="7" t="s">
        <v>733</v>
      </c>
      <c r="J37" s="7" t="s">
        <v>3426</v>
      </c>
      <c r="K37" s="7" t="s">
        <v>4251</v>
      </c>
      <c r="L37" s="11" t="str">
        <f>HYPERLINK("http://slimages.macys.com/is/image/MCY/12913034 ")</f>
        <v xml:space="preserve">http://slimages.macys.com/is/image/MCY/12913034 </v>
      </c>
    </row>
    <row r="38" spans="1:12" ht="39.950000000000003" customHeight="1" x14ac:dyDescent="0.25">
      <c r="A38" s="6" t="s">
        <v>734</v>
      </c>
      <c r="B38" s="7" t="s">
        <v>735</v>
      </c>
      <c r="C38" s="8">
        <v>1</v>
      </c>
      <c r="D38" s="9">
        <v>29.99</v>
      </c>
      <c r="E38" s="8" t="s">
        <v>562</v>
      </c>
      <c r="F38" s="7" t="s">
        <v>4304</v>
      </c>
      <c r="G38" s="10"/>
      <c r="H38" s="7" t="s">
        <v>3452</v>
      </c>
      <c r="I38" s="7" t="s">
        <v>3834</v>
      </c>
      <c r="J38" s="7" t="s">
        <v>3426</v>
      </c>
      <c r="K38" s="7"/>
      <c r="L38" s="11" t="str">
        <f>HYPERLINK("http://slimages.macys.com/is/image/MCY/9940182 ")</f>
        <v xml:space="preserve">http://slimages.macys.com/is/image/MCY/9940182 </v>
      </c>
    </row>
    <row r="39" spans="1:12" ht="39.950000000000003" customHeight="1" x14ac:dyDescent="0.25">
      <c r="A39" s="6" t="s">
        <v>736</v>
      </c>
      <c r="B39" s="7" t="s">
        <v>737</v>
      </c>
      <c r="C39" s="8">
        <v>1</v>
      </c>
      <c r="D39" s="9">
        <v>38.99</v>
      </c>
      <c r="E39" s="8" t="s">
        <v>738</v>
      </c>
      <c r="F39" s="7" t="s">
        <v>3445</v>
      </c>
      <c r="G39" s="10"/>
      <c r="H39" s="7" t="s">
        <v>3490</v>
      </c>
      <c r="I39" s="7" t="s">
        <v>3553</v>
      </c>
      <c r="J39" s="7" t="s">
        <v>3426</v>
      </c>
      <c r="K39" s="7" t="s">
        <v>3518</v>
      </c>
      <c r="L39" s="11" t="str">
        <f>HYPERLINK("http://slimages.macys.com/is/image/MCY/16396592 ")</f>
        <v xml:space="preserve">http://slimages.macys.com/is/image/MCY/16396592 </v>
      </c>
    </row>
    <row r="40" spans="1:12" ht="39.950000000000003" customHeight="1" x14ac:dyDescent="0.25">
      <c r="A40" s="6" t="s">
        <v>739</v>
      </c>
      <c r="B40" s="7" t="s">
        <v>740</v>
      </c>
      <c r="C40" s="8">
        <v>1</v>
      </c>
      <c r="D40" s="9">
        <v>39.99</v>
      </c>
      <c r="E40" s="8">
        <v>130118</v>
      </c>
      <c r="F40" s="7" t="s">
        <v>3445</v>
      </c>
      <c r="G40" s="10"/>
      <c r="H40" s="7" t="s">
        <v>2471</v>
      </c>
      <c r="I40" s="7" t="s">
        <v>2575</v>
      </c>
      <c r="J40" s="7" t="s">
        <v>3426</v>
      </c>
      <c r="K40" s="7" t="s">
        <v>3135</v>
      </c>
      <c r="L40" s="11" t="str">
        <f>HYPERLINK("http://slimages.macys.com/is/image/MCY/3895749 ")</f>
        <v xml:space="preserve">http://slimages.macys.com/is/image/MCY/3895749 </v>
      </c>
    </row>
    <row r="41" spans="1:12" ht="39.950000000000003" customHeight="1" x14ac:dyDescent="0.25">
      <c r="A41" s="6" t="s">
        <v>741</v>
      </c>
      <c r="B41" s="7" t="s">
        <v>742</v>
      </c>
      <c r="C41" s="8">
        <v>1</v>
      </c>
      <c r="D41" s="9">
        <v>29.99</v>
      </c>
      <c r="E41" s="8">
        <v>55395</v>
      </c>
      <c r="F41" s="7" t="s">
        <v>3674</v>
      </c>
      <c r="G41" s="10"/>
      <c r="H41" s="7" t="s">
        <v>3490</v>
      </c>
      <c r="I41" s="7" t="s">
        <v>3649</v>
      </c>
      <c r="J41" s="7" t="s">
        <v>3426</v>
      </c>
      <c r="K41" s="7" t="s">
        <v>3518</v>
      </c>
      <c r="L41" s="11" t="str">
        <f>HYPERLINK("http://slimages.macys.com/is/image/MCY/12936265 ")</f>
        <v xml:space="preserve">http://slimages.macys.com/is/image/MCY/12936265 </v>
      </c>
    </row>
    <row r="42" spans="1:12" ht="39.950000000000003" customHeight="1" x14ac:dyDescent="0.25">
      <c r="A42" s="6" t="s">
        <v>743</v>
      </c>
      <c r="B42" s="7" t="s">
        <v>744</v>
      </c>
      <c r="C42" s="8">
        <v>1</v>
      </c>
      <c r="D42" s="9">
        <v>24.99</v>
      </c>
      <c r="E42" s="8" t="s">
        <v>745</v>
      </c>
      <c r="F42" s="7"/>
      <c r="G42" s="10" t="s">
        <v>3641</v>
      </c>
      <c r="H42" s="7" t="s">
        <v>3478</v>
      </c>
      <c r="I42" s="7" t="s">
        <v>2572</v>
      </c>
      <c r="J42" s="7"/>
      <c r="K42" s="7"/>
      <c r="L42" s="11" t="str">
        <f>HYPERLINK("http://slimages.macys.com/is/image/MCY/17893199 ")</f>
        <v xml:space="preserve">http://slimages.macys.com/is/image/MCY/17893199 </v>
      </c>
    </row>
    <row r="43" spans="1:12" ht="39.950000000000003" customHeight="1" x14ac:dyDescent="0.25">
      <c r="A43" s="6" t="s">
        <v>746</v>
      </c>
      <c r="B43" s="7" t="s">
        <v>747</v>
      </c>
      <c r="C43" s="8">
        <v>1</v>
      </c>
      <c r="D43" s="9">
        <v>23.99</v>
      </c>
      <c r="E43" s="8">
        <v>53235</v>
      </c>
      <c r="F43" s="7" t="s">
        <v>3132</v>
      </c>
      <c r="G43" s="10"/>
      <c r="H43" s="7" t="s">
        <v>3490</v>
      </c>
      <c r="I43" s="7" t="s">
        <v>3649</v>
      </c>
      <c r="J43" s="7" t="s">
        <v>3426</v>
      </c>
      <c r="K43" s="7"/>
      <c r="L43" s="11" t="str">
        <f>HYPERLINK("http://slimages.macys.com/is/image/MCY/10007765 ")</f>
        <v xml:space="preserve">http://slimages.macys.com/is/image/MCY/10007765 </v>
      </c>
    </row>
    <row r="44" spans="1:12" ht="39.950000000000003" customHeight="1" x14ac:dyDescent="0.25">
      <c r="A44" s="6" t="s">
        <v>748</v>
      </c>
      <c r="B44" s="7" t="s">
        <v>749</v>
      </c>
      <c r="C44" s="8">
        <v>1</v>
      </c>
      <c r="D44" s="9">
        <v>29.99</v>
      </c>
      <c r="E44" s="8" t="s">
        <v>750</v>
      </c>
      <c r="F44" s="7" t="s">
        <v>3431</v>
      </c>
      <c r="G44" s="10"/>
      <c r="H44" s="7" t="s">
        <v>3583</v>
      </c>
      <c r="I44" s="7" t="s">
        <v>4113</v>
      </c>
      <c r="J44" s="7"/>
      <c r="K44" s="7"/>
      <c r="L44" s="11" t="str">
        <f>HYPERLINK("http://slimages.macys.com/is/image/MCY/17040089 ")</f>
        <v xml:space="preserve">http://slimages.macys.com/is/image/MCY/17040089 </v>
      </c>
    </row>
    <row r="45" spans="1:12" ht="39.950000000000003" customHeight="1" x14ac:dyDescent="0.25">
      <c r="A45" s="6" t="s">
        <v>751</v>
      </c>
      <c r="B45" s="7" t="s">
        <v>752</v>
      </c>
      <c r="C45" s="8">
        <v>2</v>
      </c>
      <c r="D45" s="9">
        <v>49.98</v>
      </c>
      <c r="E45" s="8" t="s">
        <v>2699</v>
      </c>
      <c r="F45" s="7" t="s">
        <v>4022</v>
      </c>
      <c r="G45" s="10"/>
      <c r="H45" s="7" t="s">
        <v>3568</v>
      </c>
      <c r="I45" s="7" t="s">
        <v>2700</v>
      </c>
      <c r="J45" s="7" t="s">
        <v>3426</v>
      </c>
      <c r="K45" s="7" t="s">
        <v>3518</v>
      </c>
      <c r="L45" s="11" t="str">
        <f>HYPERLINK("http://slimages.macys.com/is/image/MCY/14718151 ")</f>
        <v xml:space="preserve">http://slimages.macys.com/is/image/MCY/14718151 </v>
      </c>
    </row>
    <row r="46" spans="1:12" ht="39.950000000000003" customHeight="1" x14ac:dyDescent="0.25">
      <c r="A46" s="6" t="s">
        <v>753</v>
      </c>
      <c r="B46" s="7" t="s">
        <v>754</v>
      </c>
      <c r="C46" s="8">
        <v>1</v>
      </c>
      <c r="D46" s="9">
        <v>27.99</v>
      </c>
      <c r="E46" s="8" t="s">
        <v>755</v>
      </c>
      <c r="F46" s="7" t="s">
        <v>3445</v>
      </c>
      <c r="G46" s="10"/>
      <c r="H46" s="7" t="s">
        <v>3490</v>
      </c>
      <c r="I46" s="7" t="s">
        <v>3943</v>
      </c>
      <c r="J46" s="7" t="s">
        <v>3426</v>
      </c>
      <c r="K46" s="7" t="s">
        <v>3518</v>
      </c>
      <c r="L46" s="11" t="str">
        <f>HYPERLINK("http://slimages.macys.com/is/image/MCY/15827410 ")</f>
        <v xml:space="preserve">http://slimages.macys.com/is/image/MCY/15827410 </v>
      </c>
    </row>
    <row r="47" spans="1:12" ht="39.950000000000003" customHeight="1" x14ac:dyDescent="0.25">
      <c r="A47" s="6" t="s">
        <v>756</v>
      </c>
      <c r="B47" s="7" t="s">
        <v>757</v>
      </c>
      <c r="C47" s="8">
        <v>1</v>
      </c>
      <c r="D47" s="9">
        <v>17.989999999999998</v>
      </c>
      <c r="E47" s="8">
        <v>47755</v>
      </c>
      <c r="F47" s="7" t="s">
        <v>3451</v>
      </c>
      <c r="G47" s="10"/>
      <c r="H47" s="7" t="s">
        <v>3490</v>
      </c>
      <c r="I47" s="7" t="s">
        <v>3649</v>
      </c>
      <c r="J47" s="7" t="s">
        <v>3426</v>
      </c>
      <c r="K47" s="7"/>
      <c r="L47" s="11" t="str">
        <f>HYPERLINK("http://slimages.macys.com/is/image/MCY/10007752 ")</f>
        <v xml:space="preserve">http://slimages.macys.com/is/image/MCY/10007752 </v>
      </c>
    </row>
    <row r="48" spans="1:12" ht="39.950000000000003" customHeight="1" x14ac:dyDescent="0.25">
      <c r="A48" s="6" t="s">
        <v>758</v>
      </c>
      <c r="B48" s="7" t="s">
        <v>759</v>
      </c>
      <c r="C48" s="8">
        <v>2</v>
      </c>
      <c r="D48" s="9">
        <v>39.979999999999997</v>
      </c>
      <c r="E48" s="8">
        <v>44234</v>
      </c>
      <c r="F48" s="7" t="s">
        <v>3445</v>
      </c>
      <c r="G48" s="10"/>
      <c r="H48" s="7" t="s">
        <v>3490</v>
      </c>
      <c r="I48" s="7" t="s">
        <v>3649</v>
      </c>
      <c r="J48" s="7" t="s">
        <v>3426</v>
      </c>
      <c r="K48" s="7"/>
      <c r="L48" s="11" t="str">
        <f>HYPERLINK("http://slimages.macys.com/is/image/MCY/9972957 ")</f>
        <v xml:space="preserve">http://slimages.macys.com/is/image/MCY/9972957 </v>
      </c>
    </row>
    <row r="49" spans="1:12" ht="39.950000000000003" customHeight="1" x14ac:dyDescent="0.25">
      <c r="A49" s="6" t="s">
        <v>760</v>
      </c>
      <c r="B49" s="7" t="s">
        <v>761</v>
      </c>
      <c r="C49" s="8">
        <v>1</v>
      </c>
      <c r="D49" s="9">
        <v>15.99</v>
      </c>
      <c r="E49" s="8" t="s">
        <v>762</v>
      </c>
      <c r="F49" s="7" t="s">
        <v>4101</v>
      </c>
      <c r="G49" s="10"/>
      <c r="H49" s="7" t="s">
        <v>3542</v>
      </c>
      <c r="I49" s="7" t="s">
        <v>4143</v>
      </c>
      <c r="J49" s="7" t="s">
        <v>3426</v>
      </c>
      <c r="K49" s="7" t="s">
        <v>763</v>
      </c>
      <c r="L49" s="11" t="str">
        <f>HYPERLINK("http://slimages.macys.com/is/image/MCY/10790777 ")</f>
        <v xml:space="preserve">http://slimages.macys.com/is/image/MCY/10790777 </v>
      </c>
    </row>
    <row r="50" spans="1:12" ht="39.950000000000003" customHeight="1" x14ac:dyDescent="0.25">
      <c r="A50" s="6" t="s">
        <v>764</v>
      </c>
      <c r="B50" s="7" t="s">
        <v>765</v>
      </c>
      <c r="C50" s="8">
        <v>1</v>
      </c>
      <c r="D50" s="9">
        <v>20.99</v>
      </c>
      <c r="E50" s="8">
        <v>53456</v>
      </c>
      <c r="F50" s="7" t="s">
        <v>3431</v>
      </c>
      <c r="G50" s="10" t="s">
        <v>4383</v>
      </c>
      <c r="H50" s="7" t="s">
        <v>3490</v>
      </c>
      <c r="I50" s="7" t="s">
        <v>3649</v>
      </c>
      <c r="J50" s="7" t="s">
        <v>3426</v>
      </c>
      <c r="K50" s="7" t="s">
        <v>3518</v>
      </c>
      <c r="L50" s="11" t="str">
        <f>HYPERLINK("http://slimages.macys.com/is/image/MCY/10010133 ")</f>
        <v xml:space="preserve">http://slimages.macys.com/is/image/MCY/10010133 </v>
      </c>
    </row>
    <row r="51" spans="1:12" ht="39.950000000000003" customHeight="1" x14ac:dyDescent="0.25">
      <c r="A51" s="6" t="s">
        <v>766</v>
      </c>
      <c r="B51" s="7" t="s">
        <v>767</v>
      </c>
      <c r="C51" s="8">
        <v>1</v>
      </c>
      <c r="D51" s="9">
        <v>19.989999999999998</v>
      </c>
      <c r="E51" s="8" t="s">
        <v>768</v>
      </c>
      <c r="F51" s="7" t="s">
        <v>3445</v>
      </c>
      <c r="G51" s="10"/>
      <c r="H51" s="7" t="s">
        <v>3490</v>
      </c>
      <c r="I51" s="7" t="s">
        <v>3859</v>
      </c>
      <c r="J51" s="7"/>
      <c r="K51" s="7"/>
      <c r="L51" s="11" t="str">
        <f>HYPERLINK("http://slimages.macys.com/is/image/MCY/17793803 ")</f>
        <v xml:space="preserve">http://slimages.macys.com/is/image/MCY/17793803 </v>
      </c>
    </row>
    <row r="52" spans="1:12" ht="39.950000000000003" customHeight="1" x14ac:dyDescent="0.25">
      <c r="A52" s="6" t="s">
        <v>3841</v>
      </c>
      <c r="B52" s="7" t="s">
        <v>3842</v>
      </c>
      <c r="C52" s="8">
        <v>1</v>
      </c>
      <c r="D52" s="9">
        <v>15.99</v>
      </c>
      <c r="E52" s="8">
        <v>50944</v>
      </c>
      <c r="F52" s="7" t="s">
        <v>3720</v>
      </c>
      <c r="G52" s="10"/>
      <c r="H52" s="7" t="s">
        <v>3490</v>
      </c>
      <c r="I52" s="7" t="s">
        <v>3649</v>
      </c>
      <c r="J52" s="7" t="s">
        <v>3426</v>
      </c>
      <c r="K52" s="7" t="s">
        <v>3518</v>
      </c>
      <c r="L52" s="11" t="str">
        <f>HYPERLINK("http://slimages.macys.com/is/image/MCY/10010137 ")</f>
        <v xml:space="preserve">http://slimages.macys.com/is/image/MCY/10010137 </v>
      </c>
    </row>
    <row r="53" spans="1:12" ht="39.950000000000003" customHeight="1" x14ac:dyDescent="0.25">
      <c r="A53" s="6" t="s">
        <v>769</v>
      </c>
      <c r="B53" s="7" t="s">
        <v>770</v>
      </c>
      <c r="C53" s="8">
        <v>1</v>
      </c>
      <c r="D53" s="9">
        <v>19.989999999999998</v>
      </c>
      <c r="E53" s="8" t="s">
        <v>771</v>
      </c>
      <c r="F53" s="7"/>
      <c r="G53" s="10" t="s">
        <v>3653</v>
      </c>
      <c r="H53" s="7" t="s">
        <v>3478</v>
      </c>
      <c r="I53" s="7" t="s">
        <v>2572</v>
      </c>
      <c r="J53" s="7"/>
      <c r="K53" s="7"/>
      <c r="L53" s="11" t="str">
        <f>HYPERLINK("http://slimages.macys.com/is/image/MCY/17597838 ")</f>
        <v xml:space="preserve">http://slimages.macys.com/is/image/MCY/17597838 </v>
      </c>
    </row>
    <row r="54" spans="1:12" ht="39.950000000000003" customHeight="1" x14ac:dyDescent="0.25">
      <c r="A54" s="6" t="s">
        <v>607</v>
      </c>
      <c r="B54" s="7" t="s">
        <v>608</v>
      </c>
      <c r="C54" s="8">
        <v>1</v>
      </c>
      <c r="D54" s="9">
        <v>17.989999999999998</v>
      </c>
      <c r="E54" s="8" t="s">
        <v>609</v>
      </c>
      <c r="F54" s="7" t="s">
        <v>3938</v>
      </c>
      <c r="G54" s="10" t="s">
        <v>3653</v>
      </c>
      <c r="H54" s="7" t="s">
        <v>3654</v>
      </c>
      <c r="I54" s="7" t="s">
        <v>3655</v>
      </c>
      <c r="J54" s="7" t="s">
        <v>3426</v>
      </c>
      <c r="K54" s="7" t="s">
        <v>3492</v>
      </c>
      <c r="L54" s="11" t="str">
        <f>HYPERLINK("http://slimages.macys.com/is/image/MCY/3964365 ")</f>
        <v xml:space="preserve">http://slimages.macys.com/is/image/MCY/3964365 </v>
      </c>
    </row>
    <row r="55" spans="1:12" ht="39.950000000000003" customHeight="1" x14ac:dyDescent="0.25">
      <c r="A55" s="6" t="s">
        <v>772</v>
      </c>
      <c r="B55" s="7" t="s">
        <v>773</v>
      </c>
      <c r="C55" s="8">
        <v>1</v>
      </c>
      <c r="D55" s="9">
        <v>39.99</v>
      </c>
      <c r="E55" s="8" t="s">
        <v>774</v>
      </c>
      <c r="F55" s="7" t="s">
        <v>4035</v>
      </c>
      <c r="G55" s="10"/>
      <c r="H55" s="7" t="s">
        <v>3458</v>
      </c>
      <c r="I55" s="7" t="s">
        <v>3459</v>
      </c>
      <c r="J55" s="7" t="s">
        <v>3426</v>
      </c>
      <c r="K55" s="7" t="s">
        <v>3485</v>
      </c>
      <c r="L55" s="11" t="str">
        <f>HYPERLINK("http://slimages.macys.com/is/image/MCY/11607139 ")</f>
        <v xml:space="preserve">http://slimages.macys.com/is/image/MCY/11607139 </v>
      </c>
    </row>
    <row r="56" spans="1:12" ht="39.950000000000003" customHeight="1" x14ac:dyDescent="0.25">
      <c r="A56" s="6" t="s">
        <v>775</v>
      </c>
      <c r="B56" s="7" t="s">
        <v>776</v>
      </c>
      <c r="C56" s="8">
        <v>1</v>
      </c>
      <c r="D56" s="9">
        <v>39.99</v>
      </c>
      <c r="E56" s="8" t="s">
        <v>777</v>
      </c>
      <c r="F56" s="7" t="s">
        <v>3445</v>
      </c>
      <c r="G56" s="10"/>
      <c r="H56" s="7" t="s">
        <v>3458</v>
      </c>
      <c r="I56" s="7" t="s">
        <v>3459</v>
      </c>
      <c r="J56" s="7" t="s">
        <v>3426</v>
      </c>
      <c r="K56" s="7"/>
      <c r="L56" s="11" t="str">
        <f>HYPERLINK("http://slimages.macys.com/is/image/MCY/8433239 ")</f>
        <v xml:space="preserve">http://slimages.macys.com/is/image/MCY/8433239 </v>
      </c>
    </row>
    <row r="57" spans="1:12" ht="39.950000000000003" customHeight="1" x14ac:dyDescent="0.25">
      <c r="A57" s="6" t="s">
        <v>778</v>
      </c>
      <c r="B57" s="7" t="s">
        <v>779</v>
      </c>
      <c r="C57" s="8">
        <v>1</v>
      </c>
      <c r="D57" s="9">
        <v>14.99</v>
      </c>
      <c r="E57" s="8" t="s">
        <v>780</v>
      </c>
      <c r="F57" s="7" t="s">
        <v>3431</v>
      </c>
      <c r="G57" s="10"/>
      <c r="H57" s="7" t="s">
        <v>3583</v>
      </c>
      <c r="I57" s="7" t="s">
        <v>3517</v>
      </c>
      <c r="J57" s="7" t="s">
        <v>3426</v>
      </c>
      <c r="K57" s="7"/>
      <c r="L57" s="11" t="str">
        <f>HYPERLINK("http://slimages.macys.com/is/image/MCY/9515683 ")</f>
        <v xml:space="preserve">http://slimages.macys.com/is/image/MCY/9515683 </v>
      </c>
    </row>
    <row r="58" spans="1:12" ht="39.950000000000003" customHeight="1" x14ac:dyDescent="0.25">
      <c r="A58" s="6" t="s">
        <v>781</v>
      </c>
      <c r="B58" s="7" t="s">
        <v>782</v>
      </c>
      <c r="C58" s="8">
        <v>1</v>
      </c>
      <c r="D58" s="9">
        <v>14.99</v>
      </c>
      <c r="E58" s="8">
        <v>10011741100</v>
      </c>
      <c r="F58" s="7" t="s">
        <v>3445</v>
      </c>
      <c r="G58" s="10"/>
      <c r="H58" s="7" t="s">
        <v>3654</v>
      </c>
      <c r="I58" s="7" t="s">
        <v>3622</v>
      </c>
      <c r="J58" s="7"/>
      <c r="K58" s="7"/>
      <c r="L58" s="11" t="str">
        <f>HYPERLINK("http://slimages.macys.com/is/image/MCY/18306338 ")</f>
        <v xml:space="preserve">http://slimages.macys.com/is/image/MCY/18306338 </v>
      </c>
    </row>
    <row r="59" spans="1:12" ht="39.950000000000003" customHeight="1" x14ac:dyDescent="0.25">
      <c r="A59" s="6" t="s">
        <v>783</v>
      </c>
      <c r="B59" s="7" t="s">
        <v>784</v>
      </c>
      <c r="C59" s="8">
        <v>1</v>
      </c>
      <c r="D59" s="9">
        <v>12.99</v>
      </c>
      <c r="E59" s="8" t="s">
        <v>785</v>
      </c>
      <c r="F59" s="7" t="s">
        <v>3423</v>
      </c>
      <c r="G59" s="10"/>
      <c r="H59" s="7" t="s">
        <v>3490</v>
      </c>
      <c r="I59" s="7" t="s">
        <v>2002</v>
      </c>
      <c r="J59" s="7" t="s">
        <v>3426</v>
      </c>
      <c r="K59" s="7" t="s">
        <v>3518</v>
      </c>
      <c r="L59" s="11" t="str">
        <f>HYPERLINK("http://slimages.macys.com/is/image/MCY/935272 ")</f>
        <v xml:space="preserve">http://slimages.macys.com/is/image/MCY/935272 </v>
      </c>
    </row>
    <row r="60" spans="1:12" ht="39.950000000000003" customHeight="1" x14ac:dyDescent="0.25">
      <c r="A60" s="6" t="s">
        <v>786</v>
      </c>
      <c r="B60" s="7" t="s">
        <v>787</v>
      </c>
      <c r="C60" s="8">
        <v>1</v>
      </c>
      <c r="D60" s="9">
        <v>24.99</v>
      </c>
      <c r="E60" s="8" t="s">
        <v>788</v>
      </c>
      <c r="F60" s="7" t="s">
        <v>3832</v>
      </c>
      <c r="G60" s="10"/>
      <c r="H60" s="7" t="s">
        <v>3467</v>
      </c>
      <c r="I60" s="7" t="s">
        <v>4333</v>
      </c>
      <c r="J60" s="7" t="s">
        <v>3426</v>
      </c>
      <c r="K60" s="7" t="s">
        <v>3556</v>
      </c>
      <c r="L60" s="11" t="str">
        <f>HYPERLINK("http://slimages.macys.com/is/image/MCY/13925898 ")</f>
        <v xml:space="preserve">http://slimages.macys.com/is/image/MCY/13925898 </v>
      </c>
    </row>
    <row r="61" spans="1:12" ht="39.950000000000003" customHeight="1" x14ac:dyDescent="0.25">
      <c r="A61" s="6" t="s">
        <v>789</v>
      </c>
      <c r="B61" s="7" t="s">
        <v>790</v>
      </c>
      <c r="C61" s="8">
        <v>1</v>
      </c>
      <c r="D61" s="9">
        <v>1.99</v>
      </c>
      <c r="E61" s="8" t="s">
        <v>791</v>
      </c>
      <c r="F61" s="7" t="s">
        <v>3431</v>
      </c>
      <c r="G61" s="10" t="s">
        <v>4360</v>
      </c>
      <c r="H61" s="7" t="s">
        <v>3635</v>
      </c>
      <c r="I61" s="7" t="s">
        <v>3517</v>
      </c>
      <c r="J61" s="7" t="s">
        <v>3426</v>
      </c>
      <c r="K61" s="7"/>
      <c r="L61" s="11" t="str">
        <f>HYPERLINK("http://slimages.macys.com/is/image/MCY/13909776 ")</f>
        <v xml:space="preserve">http://slimages.macys.com/is/image/MCY/13909776 </v>
      </c>
    </row>
    <row r="62" spans="1:12" ht="39.950000000000003" customHeight="1" x14ac:dyDescent="0.25">
      <c r="A62" s="6" t="s">
        <v>3667</v>
      </c>
      <c r="B62" s="7" t="s">
        <v>3668</v>
      </c>
      <c r="C62" s="8">
        <v>4</v>
      </c>
      <c r="D62" s="9">
        <v>160</v>
      </c>
      <c r="E62" s="8"/>
      <c r="F62" s="7" t="s">
        <v>3610</v>
      </c>
      <c r="G62" s="10" t="s">
        <v>3489</v>
      </c>
      <c r="H62" s="7" t="s">
        <v>3669</v>
      </c>
      <c r="I62" s="7" t="s">
        <v>3670</v>
      </c>
      <c r="J62" s="7"/>
      <c r="K62" s="7"/>
      <c r="L62" s="11"/>
    </row>
    <row r="63" spans="1:12" ht="39.950000000000003" customHeight="1" x14ac:dyDescent="0.25">
      <c r="A63" s="6" t="s">
        <v>792</v>
      </c>
      <c r="B63" s="7" t="s">
        <v>793</v>
      </c>
      <c r="C63" s="8">
        <v>1</v>
      </c>
      <c r="D63" s="9">
        <v>14.99</v>
      </c>
      <c r="E63" s="8" t="s">
        <v>794</v>
      </c>
      <c r="F63" s="7" t="s">
        <v>3445</v>
      </c>
      <c r="G63" s="10" t="s">
        <v>795</v>
      </c>
      <c r="H63" s="7" t="s">
        <v>3542</v>
      </c>
      <c r="I63" s="7" t="s">
        <v>2969</v>
      </c>
      <c r="J63" s="7"/>
      <c r="K63" s="7"/>
      <c r="L63" s="11"/>
    </row>
  </sheetData>
  <phoneticPr fontId="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796</v>
      </c>
      <c r="B2" s="7" t="s">
        <v>797</v>
      </c>
      <c r="C2" s="8">
        <v>1</v>
      </c>
      <c r="D2" s="9">
        <v>339.99</v>
      </c>
      <c r="E2" s="8" t="s">
        <v>798</v>
      </c>
      <c r="F2" s="7" t="s">
        <v>3445</v>
      </c>
      <c r="G2" s="10" t="s">
        <v>3439</v>
      </c>
      <c r="H2" s="7" t="s">
        <v>3676</v>
      </c>
      <c r="I2" s="7" t="s">
        <v>3704</v>
      </c>
      <c r="J2" s="7" t="s">
        <v>3426</v>
      </c>
      <c r="K2" s="7" t="s">
        <v>2596</v>
      </c>
      <c r="L2" s="11" t="str">
        <f>HYPERLINK("http://slimages.macys.com/is/image/MCY/3969345 ")</f>
        <v xml:space="preserve">http://slimages.macys.com/is/image/MCY/3969345 </v>
      </c>
    </row>
    <row r="3" spans="1:12" ht="39.950000000000003" customHeight="1" x14ac:dyDescent="0.25">
      <c r="A3" s="6" t="s">
        <v>799</v>
      </c>
      <c r="B3" s="7" t="s">
        <v>800</v>
      </c>
      <c r="C3" s="8">
        <v>1</v>
      </c>
      <c r="D3" s="9">
        <v>291.99</v>
      </c>
      <c r="E3" s="8">
        <v>56104</v>
      </c>
      <c r="F3" s="7" t="s">
        <v>3445</v>
      </c>
      <c r="G3" s="10"/>
      <c r="H3" s="7" t="s">
        <v>3559</v>
      </c>
      <c r="I3" s="7" t="s">
        <v>3560</v>
      </c>
      <c r="J3" s="7"/>
      <c r="K3" s="7"/>
      <c r="L3" s="11" t="str">
        <f>HYPERLINK("http://slimages.macys.com/is/image/MCY/17452398 ")</f>
        <v xml:space="preserve">http://slimages.macys.com/is/image/MCY/17452398 </v>
      </c>
    </row>
    <row r="4" spans="1:12" ht="39.950000000000003" customHeight="1" x14ac:dyDescent="0.25">
      <c r="A4" s="6" t="s">
        <v>801</v>
      </c>
      <c r="B4" s="7" t="s">
        <v>1908</v>
      </c>
      <c r="C4" s="8">
        <v>1</v>
      </c>
      <c r="D4" s="9">
        <v>279.99</v>
      </c>
      <c r="E4" s="8" t="s">
        <v>802</v>
      </c>
      <c r="F4" s="7" t="s">
        <v>3511</v>
      </c>
      <c r="G4" s="10"/>
      <c r="H4" s="7" t="s">
        <v>3440</v>
      </c>
      <c r="I4" s="7" t="s">
        <v>3683</v>
      </c>
      <c r="J4" s="7" t="s">
        <v>3426</v>
      </c>
      <c r="K4" s="7" t="s">
        <v>803</v>
      </c>
      <c r="L4" s="11" t="str">
        <f>HYPERLINK("http://slimages.macys.com/is/image/MCY/15767044 ")</f>
        <v xml:space="preserve">http://slimages.macys.com/is/image/MCY/15767044 </v>
      </c>
    </row>
    <row r="5" spans="1:12" ht="39.950000000000003" customHeight="1" x14ac:dyDescent="0.25">
      <c r="A5" s="6" t="s">
        <v>804</v>
      </c>
      <c r="B5" s="7" t="s">
        <v>805</v>
      </c>
      <c r="C5" s="8">
        <v>1</v>
      </c>
      <c r="D5" s="9">
        <v>244.99</v>
      </c>
      <c r="E5" s="8" t="s">
        <v>806</v>
      </c>
      <c r="F5" s="7" t="s">
        <v>3477</v>
      </c>
      <c r="G5" s="10"/>
      <c r="H5" s="7" t="s">
        <v>3478</v>
      </c>
      <c r="I5" s="7" t="s">
        <v>3553</v>
      </c>
      <c r="J5" s="7" t="s">
        <v>3426</v>
      </c>
      <c r="K5" s="7" t="s">
        <v>807</v>
      </c>
      <c r="L5" s="11" t="str">
        <f>HYPERLINK("http://slimages.macys.com/is/image/MCY/9536261 ")</f>
        <v xml:space="preserve">http://slimages.macys.com/is/image/MCY/9536261 </v>
      </c>
    </row>
    <row r="6" spans="1:12" ht="39.950000000000003" customHeight="1" x14ac:dyDescent="0.25">
      <c r="A6" s="6" t="s">
        <v>808</v>
      </c>
      <c r="B6" s="7" t="s">
        <v>809</v>
      </c>
      <c r="C6" s="8">
        <v>1</v>
      </c>
      <c r="D6" s="9">
        <v>159.99</v>
      </c>
      <c r="E6" s="8" t="s">
        <v>810</v>
      </c>
      <c r="F6" s="7" t="s">
        <v>3431</v>
      </c>
      <c r="G6" s="10"/>
      <c r="H6" s="7" t="s">
        <v>3432</v>
      </c>
      <c r="I6" s="7" t="s">
        <v>3553</v>
      </c>
      <c r="J6" s="7" t="s">
        <v>3426</v>
      </c>
      <c r="K6" s="7"/>
      <c r="L6" s="11" t="str">
        <f>HYPERLINK("http://slimages.macys.com/is/image/MCY/11858866 ")</f>
        <v xml:space="preserve">http://slimages.macys.com/is/image/MCY/11858866 </v>
      </c>
    </row>
    <row r="7" spans="1:12" ht="39.950000000000003" customHeight="1" x14ac:dyDescent="0.25">
      <c r="A7" s="6" t="s">
        <v>811</v>
      </c>
      <c r="B7" s="7" t="s">
        <v>812</v>
      </c>
      <c r="C7" s="8">
        <v>1</v>
      </c>
      <c r="D7" s="9">
        <v>129.99</v>
      </c>
      <c r="E7" s="8" t="s">
        <v>813</v>
      </c>
      <c r="F7" s="7" t="s">
        <v>3535</v>
      </c>
      <c r="G7" s="10"/>
      <c r="H7" s="7" t="s">
        <v>3490</v>
      </c>
      <c r="I7" s="7" t="s">
        <v>4354</v>
      </c>
      <c r="J7" s="7"/>
      <c r="K7" s="7"/>
      <c r="L7" s="11" t="str">
        <f>HYPERLINK("http://slimages.macys.com/is/image/MCY/17220358 ")</f>
        <v xml:space="preserve">http://slimages.macys.com/is/image/MCY/17220358 </v>
      </c>
    </row>
    <row r="8" spans="1:12" ht="39.950000000000003" customHeight="1" x14ac:dyDescent="0.25">
      <c r="A8" s="6" t="s">
        <v>814</v>
      </c>
      <c r="B8" s="7" t="s">
        <v>815</v>
      </c>
      <c r="C8" s="8">
        <v>1</v>
      </c>
      <c r="D8" s="9">
        <v>129.99</v>
      </c>
      <c r="E8" s="8" t="s">
        <v>816</v>
      </c>
      <c r="F8" s="7" t="s">
        <v>4325</v>
      </c>
      <c r="G8" s="10"/>
      <c r="H8" s="7" t="s">
        <v>3424</v>
      </c>
      <c r="I8" s="7" t="s">
        <v>3425</v>
      </c>
      <c r="J8" s="7"/>
      <c r="K8" s="7"/>
      <c r="L8" s="11" t="str">
        <f>HYPERLINK("http://slimages.macys.com/is/image/MCY/17730366 ")</f>
        <v xml:space="preserve">http://slimages.macys.com/is/image/MCY/17730366 </v>
      </c>
    </row>
    <row r="9" spans="1:12" ht="39.950000000000003" customHeight="1" x14ac:dyDescent="0.25">
      <c r="A9" s="6" t="s">
        <v>817</v>
      </c>
      <c r="B9" s="7" t="s">
        <v>818</v>
      </c>
      <c r="C9" s="8">
        <v>1</v>
      </c>
      <c r="D9" s="9">
        <v>120</v>
      </c>
      <c r="E9" s="8" t="s">
        <v>819</v>
      </c>
      <c r="F9" s="7"/>
      <c r="G9" s="10"/>
      <c r="H9" s="7" t="s">
        <v>3478</v>
      </c>
      <c r="I9" s="7" t="s">
        <v>2572</v>
      </c>
      <c r="J9" s="7" t="s">
        <v>3426</v>
      </c>
      <c r="K9" s="7" t="s">
        <v>3518</v>
      </c>
      <c r="L9" s="11" t="str">
        <f>HYPERLINK("http://slimages.macys.com/is/image/MCY/15575459 ")</f>
        <v xml:space="preserve">http://slimages.macys.com/is/image/MCY/15575459 </v>
      </c>
    </row>
    <row r="10" spans="1:12" ht="39.950000000000003" customHeight="1" x14ac:dyDescent="0.25">
      <c r="A10" s="6" t="s">
        <v>820</v>
      </c>
      <c r="B10" s="7" t="s">
        <v>821</v>
      </c>
      <c r="C10" s="8">
        <v>1</v>
      </c>
      <c r="D10" s="9">
        <v>119.99</v>
      </c>
      <c r="E10" s="8" t="s">
        <v>822</v>
      </c>
      <c r="F10" s="7" t="s">
        <v>3445</v>
      </c>
      <c r="G10" s="10"/>
      <c r="H10" s="7" t="s">
        <v>3458</v>
      </c>
      <c r="I10" s="7" t="s">
        <v>1697</v>
      </c>
      <c r="J10" s="7" t="s">
        <v>3426</v>
      </c>
      <c r="K10" s="7"/>
      <c r="L10" s="11" t="str">
        <f>HYPERLINK("http://slimages.macys.com/is/image/MCY/8813910 ")</f>
        <v xml:space="preserve">http://slimages.macys.com/is/image/MCY/8813910 </v>
      </c>
    </row>
    <row r="11" spans="1:12" ht="39.950000000000003" customHeight="1" x14ac:dyDescent="0.25">
      <c r="A11" s="6" t="s">
        <v>823</v>
      </c>
      <c r="B11" s="7" t="s">
        <v>824</v>
      </c>
      <c r="C11" s="8">
        <v>1</v>
      </c>
      <c r="D11" s="9">
        <v>97.99</v>
      </c>
      <c r="E11" s="8" t="s">
        <v>825</v>
      </c>
      <c r="F11" s="7" t="s">
        <v>3541</v>
      </c>
      <c r="G11" s="10"/>
      <c r="H11" s="7" t="s">
        <v>3432</v>
      </c>
      <c r="I11" s="7" t="s">
        <v>1690</v>
      </c>
      <c r="J11" s="7" t="s">
        <v>3426</v>
      </c>
      <c r="K11" s="7" t="s">
        <v>2315</v>
      </c>
      <c r="L11" s="11" t="str">
        <f>HYPERLINK("http://slimages.macys.com/is/image/MCY/15198973 ")</f>
        <v xml:space="preserve">http://slimages.macys.com/is/image/MCY/15198973 </v>
      </c>
    </row>
    <row r="12" spans="1:12" ht="39.950000000000003" customHeight="1" x14ac:dyDescent="0.25">
      <c r="A12" s="6" t="s">
        <v>826</v>
      </c>
      <c r="B12" s="7" t="s">
        <v>827</v>
      </c>
      <c r="C12" s="8">
        <v>1</v>
      </c>
      <c r="D12" s="9">
        <v>119.99</v>
      </c>
      <c r="E12" s="8" t="s">
        <v>828</v>
      </c>
      <c r="F12" s="7" t="s">
        <v>3445</v>
      </c>
      <c r="G12" s="10"/>
      <c r="H12" s="7" t="s">
        <v>3467</v>
      </c>
      <c r="I12" s="7" t="s">
        <v>3473</v>
      </c>
      <c r="J12" s="7" t="s">
        <v>3426</v>
      </c>
      <c r="K12" s="7" t="s">
        <v>3474</v>
      </c>
      <c r="L12" s="11" t="str">
        <f>HYPERLINK("http://slimages.macys.com/is/image/MCY/12355110 ")</f>
        <v xml:space="preserve">http://slimages.macys.com/is/image/MCY/12355110 </v>
      </c>
    </row>
    <row r="13" spans="1:12" ht="39.950000000000003" customHeight="1" x14ac:dyDescent="0.25">
      <c r="A13" s="6" t="s">
        <v>829</v>
      </c>
      <c r="B13" s="7" t="s">
        <v>830</v>
      </c>
      <c r="C13" s="8">
        <v>1</v>
      </c>
      <c r="D13" s="9">
        <v>99.99</v>
      </c>
      <c r="E13" s="8" t="s">
        <v>831</v>
      </c>
      <c r="F13" s="7" t="s">
        <v>3674</v>
      </c>
      <c r="G13" s="10"/>
      <c r="H13" s="7" t="s">
        <v>3688</v>
      </c>
      <c r="I13" s="7" t="s">
        <v>3689</v>
      </c>
      <c r="J13" s="7" t="s">
        <v>3426</v>
      </c>
      <c r="K13" s="7" t="s">
        <v>3492</v>
      </c>
      <c r="L13" s="11" t="str">
        <f>HYPERLINK("http://slimages.macys.com/is/image/MCY/14376721 ")</f>
        <v xml:space="preserve">http://slimages.macys.com/is/image/MCY/14376721 </v>
      </c>
    </row>
    <row r="14" spans="1:12" ht="39.950000000000003" customHeight="1" x14ac:dyDescent="0.25">
      <c r="A14" s="6" t="s">
        <v>832</v>
      </c>
      <c r="B14" s="7" t="s">
        <v>833</v>
      </c>
      <c r="C14" s="8">
        <v>1</v>
      </c>
      <c r="D14" s="9">
        <v>89.99</v>
      </c>
      <c r="E14" s="8" t="s">
        <v>834</v>
      </c>
      <c r="F14" s="7" t="s">
        <v>4096</v>
      </c>
      <c r="G14" s="10"/>
      <c r="H14" s="7" t="s">
        <v>3424</v>
      </c>
      <c r="I14" s="7" t="s">
        <v>1811</v>
      </c>
      <c r="J14" s="7" t="s">
        <v>3426</v>
      </c>
      <c r="K14" s="7" t="s">
        <v>1812</v>
      </c>
      <c r="L14" s="11" t="str">
        <f>HYPERLINK("http://slimages.macys.com/is/image/MCY/8398063 ")</f>
        <v xml:space="preserve">http://slimages.macys.com/is/image/MCY/8398063 </v>
      </c>
    </row>
    <row r="15" spans="1:12" ht="39.950000000000003" customHeight="1" x14ac:dyDescent="0.25">
      <c r="A15" s="6" t="s">
        <v>835</v>
      </c>
      <c r="B15" s="7" t="s">
        <v>836</v>
      </c>
      <c r="C15" s="8">
        <v>1</v>
      </c>
      <c r="D15" s="9">
        <v>149.99</v>
      </c>
      <c r="E15" s="8" t="s">
        <v>837</v>
      </c>
      <c r="F15" s="7" t="s">
        <v>3687</v>
      </c>
      <c r="G15" s="10"/>
      <c r="H15" s="7" t="s">
        <v>1609</v>
      </c>
      <c r="I15" s="7" t="s">
        <v>1610</v>
      </c>
      <c r="J15" s="7" t="s">
        <v>3426</v>
      </c>
      <c r="K15" s="7" t="s">
        <v>3492</v>
      </c>
      <c r="L15" s="11" t="str">
        <f>HYPERLINK("http://slimages.macys.com/is/image/MCY/16350947 ")</f>
        <v xml:space="preserve">http://slimages.macys.com/is/image/MCY/16350947 </v>
      </c>
    </row>
    <row r="16" spans="1:12" ht="39.950000000000003" customHeight="1" x14ac:dyDescent="0.25">
      <c r="A16" s="6" t="s">
        <v>838</v>
      </c>
      <c r="B16" s="7" t="s">
        <v>839</v>
      </c>
      <c r="C16" s="8">
        <v>1</v>
      </c>
      <c r="D16" s="9">
        <v>119.99</v>
      </c>
      <c r="E16" s="8" t="s">
        <v>840</v>
      </c>
      <c r="F16" s="7" t="s">
        <v>3832</v>
      </c>
      <c r="G16" s="10"/>
      <c r="H16" s="7" t="s">
        <v>1609</v>
      </c>
      <c r="I16" s="7" t="s">
        <v>1610</v>
      </c>
      <c r="J16" s="7" t="s">
        <v>3426</v>
      </c>
      <c r="K16" s="7" t="s">
        <v>3492</v>
      </c>
      <c r="L16" s="11" t="str">
        <f>HYPERLINK("http://slimages.macys.com/is/image/MCY/14447303 ")</f>
        <v xml:space="preserve">http://slimages.macys.com/is/image/MCY/14447303 </v>
      </c>
    </row>
    <row r="17" spans="1:12" ht="39.950000000000003" customHeight="1" x14ac:dyDescent="0.25">
      <c r="A17" s="6" t="s">
        <v>841</v>
      </c>
      <c r="B17" s="7" t="s">
        <v>842</v>
      </c>
      <c r="C17" s="8">
        <v>1</v>
      </c>
      <c r="D17" s="9">
        <v>119.99</v>
      </c>
      <c r="E17" s="8" t="s">
        <v>843</v>
      </c>
      <c r="F17" s="7" t="s">
        <v>3687</v>
      </c>
      <c r="G17" s="10"/>
      <c r="H17" s="7" t="s">
        <v>3490</v>
      </c>
      <c r="I17" s="7" t="s">
        <v>4411</v>
      </c>
      <c r="J17" s="7" t="s">
        <v>3426</v>
      </c>
      <c r="K17" s="7" t="s">
        <v>3518</v>
      </c>
      <c r="L17" s="11" t="str">
        <f>HYPERLINK("http://slimages.macys.com/is/image/MCY/13813321 ")</f>
        <v xml:space="preserve">http://slimages.macys.com/is/image/MCY/13813321 </v>
      </c>
    </row>
    <row r="18" spans="1:12" ht="39.950000000000003" customHeight="1" x14ac:dyDescent="0.25">
      <c r="A18" s="6" t="s">
        <v>844</v>
      </c>
      <c r="B18" s="7" t="s">
        <v>845</v>
      </c>
      <c r="C18" s="8">
        <v>1</v>
      </c>
      <c r="D18" s="9">
        <v>101.99</v>
      </c>
      <c r="E18" s="8">
        <v>2011300001</v>
      </c>
      <c r="F18" s="7" t="s">
        <v>3445</v>
      </c>
      <c r="G18" s="10" t="s">
        <v>3512</v>
      </c>
      <c r="H18" s="7" t="s">
        <v>3490</v>
      </c>
      <c r="I18" s="7" t="s">
        <v>3744</v>
      </c>
      <c r="J18" s="7"/>
      <c r="K18" s="7"/>
      <c r="L18" s="11" t="str">
        <f>HYPERLINK("http://slimages.macys.com/is/image/MCY/17042697 ")</f>
        <v xml:space="preserve">http://slimages.macys.com/is/image/MCY/17042697 </v>
      </c>
    </row>
    <row r="19" spans="1:12" ht="39.950000000000003" customHeight="1" x14ac:dyDescent="0.25">
      <c r="A19" s="6" t="s">
        <v>1943</v>
      </c>
      <c r="B19" s="7" t="s">
        <v>1944</v>
      </c>
      <c r="C19" s="8">
        <v>1</v>
      </c>
      <c r="D19" s="9">
        <v>325</v>
      </c>
      <c r="E19" s="8" t="s">
        <v>1945</v>
      </c>
      <c r="F19" s="7" t="s">
        <v>3445</v>
      </c>
      <c r="G19" s="10" t="s">
        <v>3547</v>
      </c>
      <c r="H19" s="7" t="s">
        <v>3525</v>
      </c>
      <c r="I19" s="7" t="s">
        <v>1806</v>
      </c>
      <c r="J19" s="7" t="s">
        <v>3564</v>
      </c>
      <c r="K19" s="7" t="s">
        <v>1807</v>
      </c>
      <c r="L19" s="11" t="str">
        <f>HYPERLINK("http://images.bloomingdales.com/is/image/BLM/11029923 ")</f>
        <v xml:space="preserve">http://images.bloomingdales.com/is/image/BLM/11029923 </v>
      </c>
    </row>
    <row r="20" spans="1:12" ht="39.950000000000003" customHeight="1" x14ac:dyDescent="0.25">
      <c r="A20" s="6" t="s">
        <v>846</v>
      </c>
      <c r="B20" s="7" t="s">
        <v>847</v>
      </c>
      <c r="C20" s="8">
        <v>1</v>
      </c>
      <c r="D20" s="9">
        <v>99.99</v>
      </c>
      <c r="E20" s="8" t="s">
        <v>848</v>
      </c>
      <c r="F20" s="7" t="s">
        <v>3463</v>
      </c>
      <c r="G20" s="10"/>
      <c r="H20" s="7" t="s">
        <v>3452</v>
      </c>
      <c r="I20" s="7" t="s">
        <v>3453</v>
      </c>
      <c r="J20" s="7"/>
      <c r="K20" s="7"/>
      <c r="L20" s="11" t="str">
        <f>HYPERLINK("http://slimages.macys.com/is/image/MCY/16633333 ")</f>
        <v xml:space="preserve">http://slimages.macys.com/is/image/MCY/16633333 </v>
      </c>
    </row>
    <row r="21" spans="1:12" ht="39.950000000000003" customHeight="1" x14ac:dyDescent="0.25">
      <c r="A21" s="6" t="s">
        <v>849</v>
      </c>
      <c r="B21" s="7" t="s">
        <v>850</v>
      </c>
      <c r="C21" s="8">
        <v>1</v>
      </c>
      <c r="D21" s="9">
        <v>69.989999999999995</v>
      </c>
      <c r="E21" s="8" t="s">
        <v>851</v>
      </c>
      <c r="F21" s="7" t="s">
        <v>3530</v>
      </c>
      <c r="G21" s="10"/>
      <c r="H21" s="7" t="s">
        <v>3458</v>
      </c>
      <c r="I21" s="7" t="s">
        <v>3459</v>
      </c>
      <c r="J21" s="7" t="s">
        <v>3426</v>
      </c>
      <c r="K21" s="7" t="s">
        <v>3485</v>
      </c>
      <c r="L21" s="11" t="str">
        <f>HYPERLINK("http://slimages.macys.com/is/image/MCY/11607139 ")</f>
        <v xml:space="preserve">http://slimages.macys.com/is/image/MCY/11607139 </v>
      </c>
    </row>
    <row r="22" spans="1:12" ht="39.950000000000003" customHeight="1" x14ac:dyDescent="0.25">
      <c r="A22" s="6" t="s">
        <v>852</v>
      </c>
      <c r="B22" s="7" t="s">
        <v>853</v>
      </c>
      <c r="C22" s="8">
        <v>1</v>
      </c>
      <c r="D22" s="9">
        <v>60.99</v>
      </c>
      <c r="E22" s="8" t="s">
        <v>854</v>
      </c>
      <c r="F22" s="7" t="s">
        <v>1988</v>
      </c>
      <c r="G22" s="10"/>
      <c r="H22" s="7" t="s">
        <v>3542</v>
      </c>
      <c r="I22" s="7" t="s">
        <v>3972</v>
      </c>
      <c r="J22" s="7" t="s">
        <v>3426</v>
      </c>
      <c r="K22" s="7" t="s">
        <v>3556</v>
      </c>
      <c r="L22" s="11" t="str">
        <f>HYPERLINK("http://slimages.macys.com/is/image/MCY/13300640 ")</f>
        <v xml:space="preserve">http://slimages.macys.com/is/image/MCY/13300640 </v>
      </c>
    </row>
    <row r="23" spans="1:12" ht="39.950000000000003" customHeight="1" x14ac:dyDescent="0.25">
      <c r="A23" s="6" t="s">
        <v>855</v>
      </c>
      <c r="B23" s="7" t="s">
        <v>856</v>
      </c>
      <c r="C23" s="8">
        <v>1</v>
      </c>
      <c r="D23" s="9">
        <v>79.989999999999995</v>
      </c>
      <c r="E23" s="8" t="s">
        <v>857</v>
      </c>
      <c r="F23" s="7" t="s">
        <v>4167</v>
      </c>
      <c r="G23" s="10"/>
      <c r="H23" s="7" t="s">
        <v>3568</v>
      </c>
      <c r="I23" s="7" t="s">
        <v>4388</v>
      </c>
      <c r="J23" s="7" t="s">
        <v>3426</v>
      </c>
      <c r="K23" s="7"/>
      <c r="L23" s="11" t="str">
        <f>HYPERLINK("http://slimages.macys.com/is/image/MCY/8670787 ")</f>
        <v xml:space="preserve">http://slimages.macys.com/is/image/MCY/8670787 </v>
      </c>
    </row>
    <row r="24" spans="1:12" ht="39.950000000000003" customHeight="1" x14ac:dyDescent="0.25">
      <c r="A24" s="6" t="s">
        <v>858</v>
      </c>
      <c r="B24" s="7" t="s">
        <v>859</v>
      </c>
      <c r="C24" s="8">
        <v>1</v>
      </c>
      <c r="D24" s="9">
        <v>59.99</v>
      </c>
      <c r="E24" s="8" t="s">
        <v>860</v>
      </c>
      <c r="F24" s="7" t="s">
        <v>3511</v>
      </c>
      <c r="G24" s="10"/>
      <c r="H24" s="7" t="s">
        <v>3458</v>
      </c>
      <c r="I24" s="7" t="s">
        <v>2950</v>
      </c>
      <c r="J24" s="7" t="s">
        <v>3426</v>
      </c>
      <c r="K24" s="7"/>
      <c r="L24" s="11" t="str">
        <f>HYPERLINK("http://slimages.macys.com/is/image/MCY/11518009 ")</f>
        <v xml:space="preserve">http://slimages.macys.com/is/image/MCY/11518009 </v>
      </c>
    </row>
    <row r="25" spans="1:12" ht="39.950000000000003" customHeight="1" x14ac:dyDescent="0.25">
      <c r="A25" s="6" t="s">
        <v>861</v>
      </c>
      <c r="B25" s="7" t="s">
        <v>862</v>
      </c>
      <c r="C25" s="8">
        <v>1</v>
      </c>
      <c r="D25" s="9">
        <v>59.99</v>
      </c>
      <c r="E25" s="8" t="s">
        <v>863</v>
      </c>
      <c r="F25" s="7" t="s">
        <v>3431</v>
      </c>
      <c r="G25" s="10"/>
      <c r="H25" s="7" t="s">
        <v>3424</v>
      </c>
      <c r="I25" s="7" t="s">
        <v>864</v>
      </c>
      <c r="J25" s="7" t="s">
        <v>3426</v>
      </c>
      <c r="K25" s="7" t="s">
        <v>865</v>
      </c>
      <c r="L25" s="11" t="str">
        <f>HYPERLINK("http://slimages.macys.com/is/image/MCY/15730705 ")</f>
        <v xml:space="preserve">http://slimages.macys.com/is/image/MCY/15730705 </v>
      </c>
    </row>
    <row r="26" spans="1:12" ht="39.950000000000003" customHeight="1" x14ac:dyDescent="0.25">
      <c r="A26" s="6" t="s">
        <v>866</v>
      </c>
      <c r="B26" s="7" t="s">
        <v>867</v>
      </c>
      <c r="C26" s="8">
        <v>1</v>
      </c>
      <c r="D26" s="9">
        <v>49.99</v>
      </c>
      <c r="E26" s="8" t="s">
        <v>868</v>
      </c>
      <c r="F26" s="7" t="s">
        <v>4167</v>
      </c>
      <c r="G26" s="10"/>
      <c r="H26" s="7" t="s">
        <v>3542</v>
      </c>
      <c r="I26" s="7" t="s">
        <v>3972</v>
      </c>
      <c r="J26" s="7" t="s">
        <v>3426</v>
      </c>
      <c r="K26" s="7" t="s">
        <v>3492</v>
      </c>
      <c r="L26" s="11" t="str">
        <f>HYPERLINK("http://slimages.macys.com/is/image/MCY/12056225 ")</f>
        <v xml:space="preserve">http://slimages.macys.com/is/image/MCY/12056225 </v>
      </c>
    </row>
    <row r="27" spans="1:12" ht="39.950000000000003" customHeight="1" x14ac:dyDescent="0.25">
      <c r="A27" s="6" t="s">
        <v>869</v>
      </c>
      <c r="B27" s="7" t="s">
        <v>870</v>
      </c>
      <c r="C27" s="8">
        <v>1</v>
      </c>
      <c r="D27" s="9">
        <v>49.99</v>
      </c>
      <c r="E27" s="8" t="s">
        <v>871</v>
      </c>
      <c r="F27" s="7" t="s">
        <v>4096</v>
      </c>
      <c r="G27" s="10"/>
      <c r="H27" s="7" t="s">
        <v>3542</v>
      </c>
      <c r="I27" s="7" t="s">
        <v>3972</v>
      </c>
      <c r="J27" s="7" t="s">
        <v>3426</v>
      </c>
      <c r="K27" s="7" t="s">
        <v>4251</v>
      </c>
      <c r="L27" s="11" t="str">
        <f>HYPERLINK("http://slimages.macys.com/is/image/MCY/12157132 ")</f>
        <v xml:space="preserve">http://slimages.macys.com/is/image/MCY/12157132 </v>
      </c>
    </row>
    <row r="28" spans="1:12" ht="39.950000000000003" customHeight="1" x14ac:dyDescent="0.25">
      <c r="A28" s="6" t="s">
        <v>2098</v>
      </c>
      <c r="B28" s="7" t="s">
        <v>2099</v>
      </c>
      <c r="C28" s="8">
        <v>1</v>
      </c>
      <c r="D28" s="9">
        <v>79.989999999999995</v>
      </c>
      <c r="E28" s="8" t="s">
        <v>2100</v>
      </c>
      <c r="F28" s="7" t="s">
        <v>3445</v>
      </c>
      <c r="G28" s="10" t="s">
        <v>3617</v>
      </c>
      <c r="H28" s="7" t="s">
        <v>3559</v>
      </c>
      <c r="I28" s="7" t="s">
        <v>4277</v>
      </c>
      <c r="J28" s="7" t="s">
        <v>3426</v>
      </c>
      <c r="K28" s="7" t="s">
        <v>3518</v>
      </c>
      <c r="L28" s="11" t="str">
        <f>HYPERLINK("http://slimages.macys.com/is/image/MCY/2155717 ")</f>
        <v xml:space="preserve">http://slimages.macys.com/is/image/MCY/2155717 </v>
      </c>
    </row>
    <row r="29" spans="1:12" ht="39.950000000000003" customHeight="1" x14ac:dyDescent="0.25">
      <c r="A29" s="6" t="s">
        <v>872</v>
      </c>
      <c r="B29" s="7" t="s">
        <v>873</v>
      </c>
      <c r="C29" s="8">
        <v>1</v>
      </c>
      <c r="D29" s="9">
        <v>66.989999999999995</v>
      </c>
      <c r="E29" s="8" t="s">
        <v>874</v>
      </c>
      <c r="F29" s="7" t="s">
        <v>3445</v>
      </c>
      <c r="G29" s="10"/>
      <c r="H29" s="7" t="s">
        <v>3478</v>
      </c>
      <c r="I29" s="7" t="s">
        <v>2969</v>
      </c>
      <c r="J29" s="7" t="s">
        <v>3426</v>
      </c>
      <c r="K29" s="7" t="s">
        <v>4300</v>
      </c>
      <c r="L29" s="11" t="str">
        <f>HYPERLINK("http://slimages.macys.com/is/image/MCY/14540138 ")</f>
        <v xml:space="preserve">http://slimages.macys.com/is/image/MCY/14540138 </v>
      </c>
    </row>
    <row r="30" spans="1:12" ht="39.950000000000003" customHeight="1" x14ac:dyDescent="0.25">
      <c r="A30" s="6" t="s">
        <v>2960</v>
      </c>
      <c r="B30" s="7" t="s">
        <v>2961</v>
      </c>
      <c r="C30" s="8">
        <v>1</v>
      </c>
      <c r="D30" s="9">
        <v>49.99</v>
      </c>
      <c r="E30" s="8" t="s">
        <v>2962</v>
      </c>
      <c r="F30" s="7" t="s">
        <v>3496</v>
      </c>
      <c r="G30" s="10"/>
      <c r="H30" s="7" t="s">
        <v>3478</v>
      </c>
      <c r="I30" s="7" t="s">
        <v>3517</v>
      </c>
      <c r="J30" s="7" t="s">
        <v>3426</v>
      </c>
      <c r="K30" s="7" t="s">
        <v>3518</v>
      </c>
      <c r="L30" s="11" t="str">
        <f>HYPERLINK("http://slimages.macys.com/is/image/MCY/8347198 ")</f>
        <v xml:space="preserve">http://slimages.macys.com/is/image/MCY/8347198 </v>
      </c>
    </row>
    <row r="31" spans="1:12" ht="39.950000000000003" customHeight="1" x14ac:dyDescent="0.25">
      <c r="A31" s="6" t="s">
        <v>875</v>
      </c>
      <c r="B31" s="7" t="s">
        <v>876</v>
      </c>
      <c r="C31" s="8">
        <v>1</v>
      </c>
      <c r="D31" s="9">
        <v>41.99</v>
      </c>
      <c r="E31" s="8">
        <v>53033</v>
      </c>
      <c r="F31" s="7" t="s">
        <v>4325</v>
      </c>
      <c r="G31" s="10"/>
      <c r="H31" s="7" t="s">
        <v>3490</v>
      </c>
      <c r="I31" s="7" t="s">
        <v>3649</v>
      </c>
      <c r="J31" s="7" t="s">
        <v>3426</v>
      </c>
      <c r="K31" s="7" t="s">
        <v>877</v>
      </c>
      <c r="L31" s="11" t="str">
        <f>HYPERLINK("http://slimages.macys.com/is/image/MCY/9590315 ")</f>
        <v xml:space="preserve">http://slimages.macys.com/is/image/MCY/9590315 </v>
      </c>
    </row>
    <row r="32" spans="1:12" ht="39.950000000000003" customHeight="1" x14ac:dyDescent="0.25">
      <c r="A32" s="6" t="s">
        <v>878</v>
      </c>
      <c r="B32" s="7" t="s">
        <v>879</v>
      </c>
      <c r="C32" s="8">
        <v>1</v>
      </c>
      <c r="D32" s="9">
        <v>49.99</v>
      </c>
      <c r="E32" s="8" t="s">
        <v>880</v>
      </c>
      <c r="F32" s="7"/>
      <c r="G32" s="10"/>
      <c r="H32" s="7" t="s">
        <v>3478</v>
      </c>
      <c r="I32" s="7" t="s">
        <v>3815</v>
      </c>
      <c r="J32" s="7"/>
      <c r="K32" s="7"/>
      <c r="L32" s="11" t="str">
        <f>HYPERLINK("http://slimages.macys.com/is/image/MCY/17892683 ")</f>
        <v xml:space="preserve">http://slimages.macys.com/is/image/MCY/17892683 </v>
      </c>
    </row>
    <row r="33" spans="1:12" ht="39.950000000000003" customHeight="1" x14ac:dyDescent="0.25">
      <c r="A33" s="6" t="s">
        <v>881</v>
      </c>
      <c r="B33" s="7" t="s">
        <v>882</v>
      </c>
      <c r="C33" s="8">
        <v>1</v>
      </c>
      <c r="D33" s="9">
        <v>49.99</v>
      </c>
      <c r="E33" s="8" t="s">
        <v>883</v>
      </c>
      <c r="F33" s="7" t="s">
        <v>3445</v>
      </c>
      <c r="G33" s="10" t="s">
        <v>4007</v>
      </c>
      <c r="H33" s="7" t="s">
        <v>3688</v>
      </c>
      <c r="I33" s="7" t="s">
        <v>3871</v>
      </c>
      <c r="J33" s="7" t="s">
        <v>3426</v>
      </c>
      <c r="K33" s="7"/>
      <c r="L33" s="11" t="str">
        <f>HYPERLINK("http://slimages.macys.com/is/image/MCY/9418438 ")</f>
        <v xml:space="preserve">http://slimages.macys.com/is/image/MCY/9418438 </v>
      </c>
    </row>
    <row r="34" spans="1:12" ht="39.950000000000003" customHeight="1" x14ac:dyDescent="0.25">
      <c r="A34" s="6" t="s">
        <v>884</v>
      </c>
      <c r="B34" s="7" t="s">
        <v>885</v>
      </c>
      <c r="C34" s="8">
        <v>1</v>
      </c>
      <c r="D34" s="9">
        <v>49.99</v>
      </c>
      <c r="E34" s="8" t="s">
        <v>886</v>
      </c>
      <c r="F34" s="7"/>
      <c r="G34" s="10"/>
      <c r="H34" s="7" t="s">
        <v>3478</v>
      </c>
      <c r="I34" s="7" t="s">
        <v>3517</v>
      </c>
      <c r="J34" s="7" t="s">
        <v>3613</v>
      </c>
      <c r="K34" s="7" t="s">
        <v>3592</v>
      </c>
      <c r="L34" s="11" t="str">
        <f>HYPERLINK("http://slimages.macys.com/is/image/MCY/11707586 ")</f>
        <v xml:space="preserve">http://slimages.macys.com/is/image/MCY/11707586 </v>
      </c>
    </row>
    <row r="35" spans="1:12" ht="39.950000000000003" customHeight="1" x14ac:dyDescent="0.25">
      <c r="A35" s="6" t="s">
        <v>887</v>
      </c>
      <c r="B35" s="7" t="s">
        <v>888</v>
      </c>
      <c r="C35" s="8">
        <v>1</v>
      </c>
      <c r="D35" s="9">
        <v>49.99</v>
      </c>
      <c r="E35" s="8" t="s">
        <v>889</v>
      </c>
      <c r="F35" s="7" t="s">
        <v>3496</v>
      </c>
      <c r="G35" s="10"/>
      <c r="H35" s="7" t="s">
        <v>3478</v>
      </c>
      <c r="I35" s="7" t="s">
        <v>3517</v>
      </c>
      <c r="J35" s="7" t="s">
        <v>3426</v>
      </c>
      <c r="K35" s="7" t="s">
        <v>3518</v>
      </c>
      <c r="L35" s="11" t="str">
        <f>HYPERLINK("http://slimages.macys.com/is/image/MCY/8347198 ")</f>
        <v xml:space="preserve">http://slimages.macys.com/is/image/MCY/8347198 </v>
      </c>
    </row>
    <row r="36" spans="1:12" ht="39.950000000000003" customHeight="1" x14ac:dyDescent="0.25">
      <c r="A36" s="6" t="s">
        <v>890</v>
      </c>
      <c r="B36" s="7" t="s">
        <v>891</v>
      </c>
      <c r="C36" s="8">
        <v>1</v>
      </c>
      <c r="D36" s="9">
        <v>79.989999999999995</v>
      </c>
      <c r="E36" s="8" t="s">
        <v>892</v>
      </c>
      <c r="F36" s="7" t="s">
        <v>4047</v>
      </c>
      <c r="G36" s="10"/>
      <c r="H36" s="7" t="s">
        <v>3440</v>
      </c>
      <c r="I36" s="7" t="s">
        <v>3446</v>
      </c>
      <c r="J36" s="7"/>
      <c r="K36" s="7"/>
      <c r="L36" s="11" t="str">
        <f>HYPERLINK("http://slimages.macys.com/is/image/MCY/18413029 ")</f>
        <v xml:space="preserve">http://slimages.macys.com/is/image/MCY/18413029 </v>
      </c>
    </row>
    <row r="37" spans="1:12" ht="39.950000000000003" customHeight="1" x14ac:dyDescent="0.25">
      <c r="A37" s="6" t="s">
        <v>893</v>
      </c>
      <c r="B37" s="7" t="s">
        <v>894</v>
      </c>
      <c r="C37" s="8">
        <v>1</v>
      </c>
      <c r="D37" s="9">
        <v>35.99</v>
      </c>
      <c r="E37" s="8" t="s">
        <v>895</v>
      </c>
      <c r="F37" s="7" t="s">
        <v>3463</v>
      </c>
      <c r="G37" s="10"/>
      <c r="H37" s="7" t="s">
        <v>3490</v>
      </c>
      <c r="I37" s="7" t="s">
        <v>3943</v>
      </c>
      <c r="J37" s="7" t="s">
        <v>3426</v>
      </c>
      <c r="K37" s="7" t="s">
        <v>3518</v>
      </c>
      <c r="L37" s="11" t="str">
        <f>HYPERLINK("http://slimages.macys.com/is/image/MCY/3881734 ")</f>
        <v xml:space="preserve">http://slimages.macys.com/is/image/MCY/3881734 </v>
      </c>
    </row>
    <row r="38" spans="1:12" ht="39.950000000000003" customHeight="1" x14ac:dyDescent="0.25">
      <c r="A38" s="6" t="s">
        <v>896</v>
      </c>
      <c r="B38" s="7" t="s">
        <v>897</v>
      </c>
      <c r="C38" s="8">
        <v>1</v>
      </c>
      <c r="D38" s="9">
        <v>39.99</v>
      </c>
      <c r="E38" s="8" t="s">
        <v>898</v>
      </c>
      <c r="F38" s="7" t="s">
        <v>3720</v>
      </c>
      <c r="G38" s="10"/>
      <c r="H38" s="7" t="s">
        <v>3568</v>
      </c>
      <c r="I38" s="7" t="s">
        <v>899</v>
      </c>
      <c r="J38" s="7" t="s">
        <v>3426</v>
      </c>
      <c r="K38" s="7" t="s">
        <v>3556</v>
      </c>
      <c r="L38" s="11" t="str">
        <f>HYPERLINK("http://slimages.macys.com/is/image/MCY/2620611 ")</f>
        <v xml:space="preserve">http://slimages.macys.com/is/image/MCY/2620611 </v>
      </c>
    </row>
    <row r="39" spans="1:12" ht="39.950000000000003" customHeight="1" x14ac:dyDescent="0.25">
      <c r="A39" s="6" t="s">
        <v>900</v>
      </c>
      <c r="B39" s="7" t="s">
        <v>901</v>
      </c>
      <c r="C39" s="8">
        <v>1</v>
      </c>
      <c r="D39" s="9">
        <v>24.99</v>
      </c>
      <c r="E39" s="8" t="s">
        <v>902</v>
      </c>
      <c r="F39" s="7" t="s">
        <v>3477</v>
      </c>
      <c r="G39" s="10"/>
      <c r="H39" s="7" t="s">
        <v>3568</v>
      </c>
      <c r="I39" s="7" t="s">
        <v>4388</v>
      </c>
      <c r="J39" s="7"/>
      <c r="K39" s="7"/>
      <c r="L39" s="11" t="str">
        <f>HYPERLINK("http://slimages.macys.com/is/image/MCY/17922649 ")</f>
        <v xml:space="preserve">http://slimages.macys.com/is/image/MCY/17922649 </v>
      </c>
    </row>
    <row r="40" spans="1:12" ht="39.950000000000003" customHeight="1" x14ac:dyDescent="0.25">
      <c r="A40" s="6" t="s">
        <v>903</v>
      </c>
      <c r="B40" s="7" t="s">
        <v>904</v>
      </c>
      <c r="C40" s="8">
        <v>1</v>
      </c>
      <c r="D40" s="9">
        <v>18.989999999999998</v>
      </c>
      <c r="E40" s="8" t="s">
        <v>905</v>
      </c>
      <c r="F40" s="7" t="s">
        <v>3445</v>
      </c>
      <c r="G40" s="10"/>
      <c r="H40" s="7" t="s">
        <v>3542</v>
      </c>
      <c r="I40" s="7" t="s">
        <v>3829</v>
      </c>
      <c r="J40" s="7" t="s">
        <v>3426</v>
      </c>
      <c r="K40" s="7" t="s">
        <v>3518</v>
      </c>
      <c r="L40" s="11" t="str">
        <f>HYPERLINK("http://slimages.macys.com/is/image/MCY/3153811 ")</f>
        <v xml:space="preserve">http://slimages.macys.com/is/image/MCY/3153811 </v>
      </c>
    </row>
    <row r="41" spans="1:12" ht="39.950000000000003" customHeight="1" x14ac:dyDescent="0.25">
      <c r="A41" s="6" t="s">
        <v>906</v>
      </c>
      <c r="B41" s="7" t="s">
        <v>907</v>
      </c>
      <c r="C41" s="8">
        <v>1</v>
      </c>
      <c r="D41" s="9">
        <v>19.989999999999998</v>
      </c>
      <c r="E41" s="8">
        <v>57772</v>
      </c>
      <c r="F41" s="7" t="s">
        <v>3438</v>
      </c>
      <c r="G41" s="10"/>
      <c r="H41" s="7" t="s">
        <v>3490</v>
      </c>
      <c r="I41" s="7" t="s">
        <v>3649</v>
      </c>
      <c r="J41" s="7"/>
      <c r="K41" s="7"/>
      <c r="L41" s="11" t="str">
        <f>HYPERLINK("http://slimages.macys.com/is/image/MCY/17939075 ")</f>
        <v xml:space="preserve">http://slimages.macys.com/is/image/MCY/17939075 </v>
      </c>
    </row>
    <row r="42" spans="1:12" ht="39.950000000000003" customHeight="1" x14ac:dyDescent="0.25">
      <c r="A42" s="6" t="s">
        <v>908</v>
      </c>
      <c r="B42" s="7" t="s">
        <v>909</v>
      </c>
      <c r="C42" s="8">
        <v>1</v>
      </c>
      <c r="D42" s="9">
        <v>19.989999999999998</v>
      </c>
      <c r="E42" s="8" t="s">
        <v>910</v>
      </c>
      <c r="F42" s="7" t="s">
        <v>3674</v>
      </c>
      <c r="G42" s="10"/>
      <c r="H42" s="7" t="s">
        <v>3583</v>
      </c>
      <c r="I42" s="7" t="s">
        <v>3700</v>
      </c>
      <c r="J42" s="7" t="s">
        <v>3426</v>
      </c>
      <c r="K42" s="7" t="s">
        <v>911</v>
      </c>
      <c r="L42" s="11" t="str">
        <f>HYPERLINK("http://slimages.macys.com/is/image/MCY/8251495 ")</f>
        <v xml:space="preserve">http://slimages.macys.com/is/image/MCY/8251495 </v>
      </c>
    </row>
    <row r="43" spans="1:12" ht="39.950000000000003" customHeight="1" x14ac:dyDescent="0.25">
      <c r="A43" s="6" t="s">
        <v>912</v>
      </c>
      <c r="B43" s="7" t="s">
        <v>913</v>
      </c>
      <c r="C43" s="8">
        <v>2</v>
      </c>
      <c r="D43" s="9">
        <v>51.98</v>
      </c>
      <c r="E43" s="8" t="s">
        <v>914</v>
      </c>
      <c r="F43" s="7" t="s">
        <v>3445</v>
      </c>
      <c r="G43" s="10"/>
      <c r="H43" s="7" t="s">
        <v>2991</v>
      </c>
      <c r="I43" s="7" t="s">
        <v>2145</v>
      </c>
      <c r="J43" s="7" t="s">
        <v>3601</v>
      </c>
      <c r="K43" s="7" t="s">
        <v>2146</v>
      </c>
      <c r="L43" s="11" t="str">
        <f>HYPERLINK("http://slimages.macys.com/is/image/MCY/9898874 ")</f>
        <v xml:space="preserve">http://slimages.macys.com/is/image/MCY/9898874 </v>
      </c>
    </row>
    <row r="44" spans="1:12" ht="39.950000000000003" customHeight="1" x14ac:dyDescent="0.25">
      <c r="A44" s="6" t="s">
        <v>4198</v>
      </c>
      <c r="B44" s="7" t="s">
        <v>4199</v>
      </c>
      <c r="C44" s="8">
        <v>4</v>
      </c>
      <c r="D44" s="9">
        <v>75.959999999999994</v>
      </c>
      <c r="E44" s="8" t="s">
        <v>4200</v>
      </c>
      <c r="F44" s="7" t="s">
        <v>3445</v>
      </c>
      <c r="G44" s="10"/>
      <c r="H44" s="7" t="s">
        <v>3542</v>
      </c>
      <c r="I44" s="7" t="s">
        <v>3829</v>
      </c>
      <c r="J44" s="7" t="s">
        <v>3426</v>
      </c>
      <c r="K44" s="7" t="s">
        <v>3518</v>
      </c>
      <c r="L44" s="11" t="str">
        <f>HYPERLINK("http://slimages.macys.com/is/image/MCY/3153811 ")</f>
        <v xml:space="preserve">http://slimages.macys.com/is/image/MCY/3153811 </v>
      </c>
    </row>
    <row r="45" spans="1:12" ht="39.950000000000003" customHeight="1" x14ac:dyDescent="0.25">
      <c r="A45" s="6" t="s">
        <v>915</v>
      </c>
      <c r="B45" s="7" t="s">
        <v>916</v>
      </c>
      <c r="C45" s="8">
        <v>2</v>
      </c>
      <c r="D45" s="9">
        <v>35.979999999999997</v>
      </c>
      <c r="E45" s="8" t="s">
        <v>917</v>
      </c>
      <c r="F45" s="7" t="s">
        <v>3610</v>
      </c>
      <c r="G45" s="10" t="s">
        <v>3617</v>
      </c>
      <c r="H45" s="7" t="s">
        <v>3525</v>
      </c>
      <c r="I45" s="7" t="s">
        <v>3612</v>
      </c>
      <c r="J45" s="7" t="s">
        <v>3613</v>
      </c>
      <c r="K45" s="7"/>
      <c r="L45" s="11" t="str">
        <f>HYPERLINK("http://slimages.macys.com/is/image/MCY/9526176 ")</f>
        <v xml:space="preserve">http://slimages.macys.com/is/image/MCY/9526176 </v>
      </c>
    </row>
    <row r="46" spans="1:12" ht="39.950000000000003" customHeight="1" x14ac:dyDescent="0.25">
      <c r="A46" s="6" t="s">
        <v>3309</v>
      </c>
      <c r="B46" s="7" t="s">
        <v>3310</v>
      </c>
      <c r="C46" s="8">
        <v>1</v>
      </c>
      <c r="D46" s="9">
        <v>19.989999999999998</v>
      </c>
      <c r="E46" s="8" t="s">
        <v>3311</v>
      </c>
      <c r="F46" s="7" t="s">
        <v>3445</v>
      </c>
      <c r="G46" s="10"/>
      <c r="H46" s="7" t="s">
        <v>3525</v>
      </c>
      <c r="I46" s="7" t="s">
        <v>3548</v>
      </c>
      <c r="J46" s="7" t="s">
        <v>3426</v>
      </c>
      <c r="K46" s="7"/>
      <c r="L46" s="11" t="str">
        <f>HYPERLINK("http://slimages.macys.com/is/image/MCY/15709914 ")</f>
        <v xml:space="preserve">http://slimages.macys.com/is/image/MCY/15709914 </v>
      </c>
    </row>
    <row r="47" spans="1:12" ht="39.950000000000003" customHeight="1" x14ac:dyDescent="0.25">
      <c r="A47" s="6" t="s">
        <v>918</v>
      </c>
      <c r="B47" s="7" t="s">
        <v>919</v>
      </c>
      <c r="C47" s="8">
        <v>1</v>
      </c>
      <c r="D47" s="9">
        <v>19.989999999999998</v>
      </c>
      <c r="E47" s="8" t="s">
        <v>920</v>
      </c>
      <c r="F47" s="7" t="s">
        <v>3484</v>
      </c>
      <c r="G47" s="10" t="s">
        <v>921</v>
      </c>
      <c r="H47" s="7" t="s">
        <v>3583</v>
      </c>
      <c r="I47" s="7" t="s">
        <v>922</v>
      </c>
      <c r="J47" s="7" t="s">
        <v>3426</v>
      </c>
      <c r="K47" s="7" t="s">
        <v>3492</v>
      </c>
      <c r="L47" s="11" t="str">
        <f>HYPERLINK("http://slimages.macys.com/is/image/MCY/10685931 ")</f>
        <v xml:space="preserve">http://slimages.macys.com/is/image/MCY/10685931 </v>
      </c>
    </row>
    <row r="48" spans="1:12" ht="39.950000000000003" customHeight="1" x14ac:dyDescent="0.25">
      <c r="A48" s="6" t="s">
        <v>923</v>
      </c>
      <c r="B48" s="7" t="s">
        <v>924</v>
      </c>
      <c r="C48" s="8">
        <v>1</v>
      </c>
      <c r="D48" s="9">
        <v>14.99</v>
      </c>
      <c r="E48" s="8">
        <v>842210</v>
      </c>
      <c r="F48" s="7" t="s">
        <v>3286</v>
      </c>
      <c r="G48" s="10"/>
      <c r="H48" s="7" t="s">
        <v>3583</v>
      </c>
      <c r="I48" s="7" t="s">
        <v>925</v>
      </c>
      <c r="J48" s="7"/>
      <c r="K48" s="7"/>
      <c r="L48" s="11" t="str">
        <f>HYPERLINK("http://slimages.macys.com/is/image/MCY/18026712 ")</f>
        <v xml:space="preserve">http://slimages.macys.com/is/image/MCY/18026712 </v>
      </c>
    </row>
    <row r="49" spans="1:12" ht="39.950000000000003" customHeight="1" x14ac:dyDescent="0.25">
      <c r="A49" s="6" t="s">
        <v>926</v>
      </c>
      <c r="B49" s="7" t="s">
        <v>927</v>
      </c>
      <c r="C49" s="8">
        <v>1</v>
      </c>
      <c r="D49" s="9">
        <v>12.99</v>
      </c>
      <c r="E49" s="8">
        <v>1009932900</v>
      </c>
      <c r="F49" s="7" t="s">
        <v>3484</v>
      </c>
      <c r="G49" s="10" t="s">
        <v>3653</v>
      </c>
      <c r="H49" s="7" t="s">
        <v>3654</v>
      </c>
      <c r="I49" s="7" t="s">
        <v>3724</v>
      </c>
      <c r="J49" s="7"/>
      <c r="K49" s="7"/>
      <c r="L49" s="11" t="str">
        <f>HYPERLINK("http://slimages.macys.com/is/image/MCY/18305389 ")</f>
        <v xml:space="preserve">http://slimages.macys.com/is/image/MCY/18305389 </v>
      </c>
    </row>
    <row r="50" spans="1:12" ht="39.950000000000003" customHeight="1" x14ac:dyDescent="0.25">
      <c r="A50" s="6" t="s">
        <v>928</v>
      </c>
      <c r="B50" s="7" t="s">
        <v>929</v>
      </c>
      <c r="C50" s="8">
        <v>1</v>
      </c>
      <c r="D50" s="9">
        <v>78.11</v>
      </c>
      <c r="E50" s="8" t="s">
        <v>930</v>
      </c>
      <c r="F50" s="7"/>
      <c r="G50" s="10"/>
      <c r="H50" s="7" t="s">
        <v>3490</v>
      </c>
      <c r="I50" s="7" t="s">
        <v>2732</v>
      </c>
      <c r="J50" s="7" t="s">
        <v>3426</v>
      </c>
      <c r="K50" s="7" t="s">
        <v>3811</v>
      </c>
      <c r="L50" s="11" t="str">
        <f>HYPERLINK("http://slimages.macys.com/is/image/MCY/11544033 ")</f>
        <v xml:space="preserve">http://slimages.macys.com/is/image/MCY/11544033 </v>
      </c>
    </row>
    <row r="51" spans="1:12" ht="39.950000000000003" customHeight="1" x14ac:dyDescent="0.25">
      <c r="A51" s="6" t="s">
        <v>778</v>
      </c>
      <c r="B51" s="7" t="s">
        <v>779</v>
      </c>
      <c r="C51" s="8">
        <v>1</v>
      </c>
      <c r="D51" s="9">
        <v>14.99</v>
      </c>
      <c r="E51" s="8" t="s">
        <v>780</v>
      </c>
      <c r="F51" s="7" t="s">
        <v>3431</v>
      </c>
      <c r="G51" s="10"/>
      <c r="H51" s="7" t="s">
        <v>3583</v>
      </c>
      <c r="I51" s="7" t="s">
        <v>3517</v>
      </c>
      <c r="J51" s="7" t="s">
        <v>3426</v>
      </c>
      <c r="K51" s="7"/>
      <c r="L51" s="11" t="str">
        <f>HYPERLINK("http://slimages.macys.com/is/image/MCY/9515683 ")</f>
        <v xml:space="preserve">http://slimages.macys.com/is/image/MCY/9515683 </v>
      </c>
    </row>
    <row r="52" spans="1:12" ht="39.950000000000003" customHeight="1" x14ac:dyDescent="0.25">
      <c r="A52" s="6" t="s">
        <v>931</v>
      </c>
      <c r="B52" s="7" t="s">
        <v>932</v>
      </c>
      <c r="C52" s="8">
        <v>1</v>
      </c>
      <c r="D52" s="9">
        <v>9.99</v>
      </c>
      <c r="E52" s="8" t="s">
        <v>933</v>
      </c>
      <c r="F52" s="7" t="s">
        <v>3484</v>
      </c>
      <c r="G52" s="10" t="s">
        <v>3653</v>
      </c>
      <c r="H52" s="7" t="s">
        <v>3654</v>
      </c>
      <c r="I52" s="7" t="s">
        <v>3840</v>
      </c>
      <c r="J52" s="7" t="s">
        <v>3426</v>
      </c>
      <c r="K52" s="7" t="s">
        <v>3492</v>
      </c>
      <c r="L52" s="11" t="str">
        <f>HYPERLINK("http://slimages.macys.com/is/image/MCY/13078031 ")</f>
        <v xml:space="preserve">http://slimages.macys.com/is/image/MCY/13078031 </v>
      </c>
    </row>
    <row r="53" spans="1:12" ht="39.950000000000003" customHeight="1" x14ac:dyDescent="0.25">
      <c r="A53" s="6" t="s">
        <v>3853</v>
      </c>
      <c r="B53" s="7" t="s">
        <v>3854</v>
      </c>
      <c r="C53" s="8">
        <v>2</v>
      </c>
      <c r="D53" s="9">
        <v>21.98</v>
      </c>
      <c r="E53" s="8" t="s">
        <v>3855</v>
      </c>
      <c r="F53" s="7" t="s">
        <v>3733</v>
      </c>
      <c r="G53" s="10" t="s">
        <v>3851</v>
      </c>
      <c r="H53" s="7" t="s">
        <v>3559</v>
      </c>
      <c r="I53" s="7" t="s">
        <v>3852</v>
      </c>
      <c r="J53" s="7"/>
      <c r="K53" s="7"/>
      <c r="L53" s="11" t="str">
        <f>HYPERLINK("http://slimages.macys.com/is/image/MCY/17993408 ")</f>
        <v xml:space="preserve">http://slimages.macys.com/is/image/MCY/17993408 </v>
      </c>
    </row>
    <row r="54" spans="1:12" ht="39.950000000000003" customHeight="1" x14ac:dyDescent="0.25">
      <c r="A54" s="6" t="s">
        <v>934</v>
      </c>
      <c r="B54" s="7" t="s">
        <v>935</v>
      </c>
      <c r="C54" s="8">
        <v>2</v>
      </c>
      <c r="D54" s="9">
        <v>25.98</v>
      </c>
      <c r="E54" s="8" t="s">
        <v>936</v>
      </c>
      <c r="F54" s="7" t="s">
        <v>3484</v>
      </c>
      <c r="G54" s="10" t="s">
        <v>4031</v>
      </c>
      <c r="H54" s="7" t="s">
        <v>3654</v>
      </c>
      <c r="I54" s="7" t="s">
        <v>3655</v>
      </c>
      <c r="J54" s="7" t="s">
        <v>3426</v>
      </c>
      <c r="K54" s="7" t="s">
        <v>3492</v>
      </c>
      <c r="L54" s="11" t="str">
        <f>HYPERLINK("http://slimages.macys.com/is/image/MCY/12737814 ")</f>
        <v xml:space="preserve">http://slimages.macys.com/is/image/MCY/12737814 </v>
      </c>
    </row>
    <row r="55" spans="1:12" ht="39.950000000000003" customHeight="1" x14ac:dyDescent="0.25">
      <c r="A55" s="6" t="s">
        <v>937</v>
      </c>
      <c r="B55" s="7" t="s">
        <v>938</v>
      </c>
      <c r="C55" s="8">
        <v>1</v>
      </c>
      <c r="D55" s="9">
        <v>5.99</v>
      </c>
      <c r="E55" s="8" t="s">
        <v>939</v>
      </c>
      <c r="F55" s="7" t="s">
        <v>4027</v>
      </c>
      <c r="G55" s="10" t="s">
        <v>4031</v>
      </c>
      <c r="H55" s="7" t="s">
        <v>3635</v>
      </c>
      <c r="I55" s="7" t="s">
        <v>3508</v>
      </c>
      <c r="J55" s="7"/>
      <c r="K55" s="7"/>
      <c r="L55" s="11" t="str">
        <f>HYPERLINK("http://slimages.macys.com/is/image/MCY/17493081 ")</f>
        <v xml:space="preserve">http://slimages.macys.com/is/image/MCY/17493081 </v>
      </c>
    </row>
    <row r="56" spans="1:12" ht="39.950000000000003" customHeight="1" x14ac:dyDescent="0.25">
      <c r="A56" s="6" t="s">
        <v>3186</v>
      </c>
      <c r="B56" s="7" t="s">
        <v>3187</v>
      </c>
      <c r="C56" s="8">
        <v>2</v>
      </c>
      <c r="D56" s="9">
        <v>165</v>
      </c>
      <c r="E56" s="8"/>
      <c r="F56" s="7" t="s">
        <v>3610</v>
      </c>
      <c r="G56" s="10" t="s">
        <v>3489</v>
      </c>
      <c r="H56" s="7" t="s">
        <v>3669</v>
      </c>
      <c r="I56" s="7" t="s">
        <v>3670</v>
      </c>
      <c r="J56" s="7"/>
      <c r="K56" s="7"/>
      <c r="L56" s="11"/>
    </row>
    <row r="57" spans="1:12" ht="39.950000000000003" customHeight="1" x14ac:dyDescent="0.25">
      <c r="A57" s="6" t="s">
        <v>3667</v>
      </c>
      <c r="B57" s="7" t="s">
        <v>3668</v>
      </c>
      <c r="C57" s="8">
        <v>3</v>
      </c>
      <c r="D57" s="9">
        <v>120</v>
      </c>
      <c r="E57" s="8"/>
      <c r="F57" s="7" t="s">
        <v>3610</v>
      </c>
      <c r="G57" s="10" t="s">
        <v>3489</v>
      </c>
      <c r="H57" s="7" t="s">
        <v>3669</v>
      </c>
      <c r="I57" s="7" t="s">
        <v>3670</v>
      </c>
      <c r="J57" s="7"/>
      <c r="K57" s="7"/>
      <c r="L57" s="11"/>
    </row>
    <row r="58" spans="1:12" ht="39.950000000000003" customHeight="1" x14ac:dyDescent="0.25">
      <c r="A58" s="6" t="s">
        <v>940</v>
      </c>
      <c r="B58" s="7" t="s">
        <v>941</v>
      </c>
      <c r="C58" s="8">
        <v>1</v>
      </c>
      <c r="D58" s="9">
        <v>78.11</v>
      </c>
      <c r="E58" s="8" t="s">
        <v>942</v>
      </c>
      <c r="F58" s="7"/>
      <c r="G58" s="10"/>
      <c r="H58" s="7" t="s">
        <v>3542</v>
      </c>
      <c r="I58" s="7" t="s">
        <v>2969</v>
      </c>
      <c r="J58" s="7"/>
      <c r="K58" s="7"/>
      <c r="L58" s="11"/>
    </row>
  </sheetData>
  <phoneticPr fontId="0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2070</v>
      </c>
      <c r="B2" s="7" t="s">
        <v>2071</v>
      </c>
      <c r="C2" s="8">
        <v>1</v>
      </c>
      <c r="D2" s="9">
        <v>399.99</v>
      </c>
      <c r="E2" s="8" t="s">
        <v>2072</v>
      </c>
      <c r="F2" s="7" t="s">
        <v>3445</v>
      </c>
      <c r="G2" s="10"/>
      <c r="H2" s="7" t="s">
        <v>3676</v>
      </c>
      <c r="I2" s="7" t="s">
        <v>3704</v>
      </c>
      <c r="J2" s="7" t="s">
        <v>3426</v>
      </c>
      <c r="K2" s="7" t="s">
        <v>2596</v>
      </c>
      <c r="L2" s="11" t="str">
        <f>HYPERLINK("http://slimages.macys.com/is/image/MCY/3974565 ")</f>
        <v xml:space="preserve">http://slimages.macys.com/is/image/MCY/3974565 </v>
      </c>
    </row>
    <row r="3" spans="1:12" ht="39.950000000000003" customHeight="1" x14ac:dyDescent="0.25">
      <c r="A3" s="6" t="s">
        <v>2753</v>
      </c>
      <c r="B3" s="7" t="s">
        <v>2754</v>
      </c>
      <c r="C3" s="8">
        <v>1</v>
      </c>
      <c r="D3" s="9">
        <v>299.99</v>
      </c>
      <c r="E3" s="8" t="s">
        <v>2755</v>
      </c>
      <c r="F3" s="7" t="s">
        <v>3445</v>
      </c>
      <c r="G3" s="10"/>
      <c r="H3" s="7" t="s">
        <v>3676</v>
      </c>
      <c r="I3" s="7" t="s">
        <v>3704</v>
      </c>
      <c r="J3" s="7" t="s">
        <v>3426</v>
      </c>
      <c r="K3" s="7" t="s">
        <v>2596</v>
      </c>
      <c r="L3" s="11" t="str">
        <f>HYPERLINK("http://slimages.macys.com/is/image/MCY/3969345 ")</f>
        <v xml:space="preserve">http://slimages.macys.com/is/image/MCY/3969345 </v>
      </c>
    </row>
    <row r="4" spans="1:12" ht="39.950000000000003" customHeight="1" x14ac:dyDescent="0.25">
      <c r="A4" s="6" t="s">
        <v>943</v>
      </c>
      <c r="B4" s="7" t="s">
        <v>944</v>
      </c>
      <c r="C4" s="8">
        <v>1</v>
      </c>
      <c r="D4" s="9">
        <v>249.99</v>
      </c>
      <c r="E4" s="8" t="s">
        <v>945</v>
      </c>
      <c r="F4" s="7" t="s">
        <v>3431</v>
      </c>
      <c r="G4" s="10"/>
      <c r="H4" s="7" t="s">
        <v>3695</v>
      </c>
      <c r="I4" s="7" t="s">
        <v>2909</v>
      </c>
      <c r="J4" s="7" t="s">
        <v>3426</v>
      </c>
      <c r="K4" s="7"/>
      <c r="L4" s="11" t="str">
        <f>HYPERLINK("http://slimages.macys.com/is/image/MCY/8847175 ")</f>
        <v xml:space="preserve">http://slimages.macys.com/is/image/MCY/8847175 </v>
      </c>
    </row>
    <row r="5" spans="1:12" ht="39.950000000000003" customHeight="1" x14ac:dyDescent="0.25">
      <c r="A5" s="6" t="s">
        <v>946</v>
      </c>
      <c r="B5" s="7" t="s">
        <v>947</v>
      </c>
      <c r="C5" s="8">
        <v>1</v>
      </c>
      <c r="D5" s="9">
        <v>78.11</v>
      </c>
      <c r="E5" s="8" t="s">
        <v>948</v>
      </c>
      <c r="F5" s="7"/>
      <c r="G5" s="10"/>
      <c r="H5" s="7" t="s">
        <v>3695</v>
      </c>
      <c r="I5" s="7" t="s">
        <v>2614</v>
      </c>
      <c r="J5" s="7" t="s">
        <v>3426</v>
      </c>
      <c r="K5" s="7" t="s">
        <v>2615</v>
      </c>
      <c r="L5" s="11" t="str">
        <f>HYPERLINK("http://slimages.macys.com/is/image/MCY/15661898 ")</f>
        <v xml:space="preserve">http://slimages.macys.com/is/image/MCY/15661898 </v>
      </c>
    </row>
    <row r="6" spans="1:12" ht="39.950000000000003" customHeight="1" x14ac:dyDescent="0.25">
      <c r="A6" s="6" t="s">
        <v>949</v>
      </c>
      <c r="B6" s="7" t="s">
        <v>950</v>
      </c>
      <c r="C6" s="8">
        <v>1</v>
      </c>
      <c r="D6" s="9">
        <v>129.99</v>
      </c>
      <c r="E6" s="8" t="s">
        <v>951</v>
      </c>
      <c r="F6" s="7" t="s">
        <v>3445</v>
      </c>
      <c r="G6" s="10" t="s">
        <v>3694</v>
      </c>
      <c r="H6" s="7" t="s">
        <v>3695</v>
      </c>
      <c r="I6" s="7" t="s">
        <v>4250</v>
      </c>
      <c r="J6" s="7" t="s">
        <v>3426</v>
      </c>
      <c r="K6" s="7" t="s">
        <v>4251</v>
      </c>
      <c r="L6" s="11" t="str">
        <f>HYPERLINK("http://slimages.macys.com/is/image/MCY/9708362 ")</f>
        <v xml:space="preserve">http://slimages.macys.com/is/image/MCY/9708362 </v>
      </c>
    </row>
    <row r="7" spans="1:12" ht="39.950000000000003" customHeight="1" x14ac:dyDescent="0.25">
      <c r="A7" s="6" t="s">
        <v>952</v>
      </c>
      <c r="B7" s="7" t="s">
        <v>953</v>
      </c>
      <c r="C7" s="8">
        <v>1</v>
      </c>
      <c r="D7" s="9">
        <v>160.99</v>
      </c>
      <c r="E7" s="8" t="s">
        <v>954</v>
      </c>
      <c r="F7" s="7" t="s">
        <v>3445</v>
      </c>
      <c r="G7" s="10" t="s">
        <v>955</v>
      </c>
      <c r="H7" s="7" t="s">
        <v>3559</v>
      </c>
      <c r="I7" s="7" t="s">
        <v>956</v>
      </c>
      <c r="J7" s="7" t="s">
        <v>3601</v>
      </c>
      <c r="K7" s="7" t="s">
        <v>3518</v>
      </c>
      <c r="L7" s="11" t="str">
        <f>HYPERLINK("http://slimages.macys.com/is/image/MCY/14328583 ")</f>
        <v xml:space="preserve">http://slimages.macys.com/is/image/MCY/14328583 </v>
      </c>
    </row>
    <row r="8" spans="1:12" ht="39.950000000000003" customHeight="1" x14ac:dyDescent="0.25">
      <c r="A8" s="6" t="s">
        <v>957</v>
      </c>
      <c r="B8" s="7" t="s">
        <v>2077</v>
      </c>
      <c r="C8" s="8">
        <v>1</v>
      </c>
      <c r="D8" s="9">
        <v>149.99</v>
      </c>
      <c r="E8" s="8" t="s">
        <v>958</v>
      </c>
      <c r="F8" s="7" t="s">
        <v>3431</v>
      </c>
      <c r="G8" s="10"/>
      <c r="H8" s="7" t="s">
        <v>3424</v>
      </c>
      <c r="I8" s="7" t="s">
        <v>3508</v>
      </c>
      <c r="J8" s="7"/>
      <c r="K8" s="7"/>
      <c r="L8" s="11" t="str">
        <f>HYPERLINK("http://slimages.macys.com/is/image/MCY/18039189 ")</f>
        <v xml:space="preserve">http://slimages.macys.com/is/image/MCY/18039189 </v>
      </c>
    </row>
    <row r="9" spans="1:12" ht="39.950000000000003" customHeight="1" x14ac:dyDescent="0.25">
      <c r="A9" s="6" t="s">
        <v>959</v>
      </c>
      <c r="B9" s="7" t="s">
        <v>960</v>
      </c>
      <c r="C9" s="8">
        <v>1</v>
      </c>
      <c r="D9" s="9">
        <v>129.99</v>
      </c>
      <c r="E9" s="8" t="s">
        <v>961</v>
      </c>
      <c r="F9" s="7" t="s">
        <v>3674</v>
      </c>
      <c r="G9" s="10"/>
      <c r="H9" s="7" t="s">
        <v>3424</v>
      </c>
      <c r="I9" s="7" t="s">
        <v>962</v>
      </c>
      <c r="J9" s="7" t="s">
        <v>3426</v>
      </c>
      <c r="K9" s="7" t="s">
        <v>3492</v>
      </c>
      <c r="L9" s="11" t="str">
        <f>HYPERLINK("http://slimages.macys.com/is/image/MCY/10311552 ")</f>
        <v xml:space="preserve">http://slimages.macys.com/is/image/MCY/10311552 </v>
      </c>
    </row>
    <row r="10" spans="1:12" ht="39.950000000000003" customHeight="1" x14ac:dyDescent="0.25">
      <c r="A10" s="6" t="s">
        <v>963</v>
      </c>
      <c r="B10" s="7" t="s">
        <v>964</v>
      </c>
      <c r="C10" s="8">
        <v>2</v>
      </c>
      <c r="D10" s="9">
        <v>353.98</v>
      </c>
      <c r="E10" s="8" t="s">
        <v>965</v>
      </c>
      <c r="F10" s="7" t="s">
        <v>3445</v>
      </c>
      <c r="G10" s="10"/>
      <c r="H10" s="7" t="s">
        <v>3490</v>
      </c>
      <c r="I10" s="7" t="s">
        <v>966</v>
      </c>
      <c r="J10" s="7" t="s">
        <v>3426</v>
      </c>
      <c r="K10" s="7" t="s">
        <v>967</v>
      </c>
      <c r="L10" s="11" t="str">
        <f>HYPERLINK("http://slimages.macys.com/is/image/MCY/15932435 ")</f>
        <v xml:space="preserve">http://slimages.macys.com/is/image/MCY/15932435 </v>
      </c>
    </row>
    <row r="11" spans="1:12" ht="39.950000000000003" customHeight="1" x14ac:dyDescent="0.25">
      <c r="A11" s="6" t="s">
        <v>968</v>
      </c>
      <c r="B11" s="7" t="s">
        <v>969</v>
      </c>
      <c r="C11" s="8">
        <v>1</v>
      </c>
      <c r="D11" s="9">
        <v>116.99</v>
      </c>
      <c r="E11" s="8" t="s">
        <v>970</v>
      </c>
      <c r="F11" s="7" t="s">
        <v>3445</v>
      </c>
      <c r="G11" s="10"/>
      <c r="H11" s="7" t="s">
        <v>3559</v>
      </c>
      <c r="I11" s="7" t="s">
        <v>1528</v>
      </c>
      <c r="J11" s="7" t="s">
        <v>3426</v>
      </c>
      <c r="K11" s="7" t="s">
        <v>971</v>
      </c>
      <c r="L11" s="11" t="str">
        <f>HYPERLINK("http://slimages.macys.com/is/image/MCY/14306811 ")</f>
        <v xml:space="preserve">http://slimages.macys.com/is/image/MCY/14306811 </v>
      </c>
    </row>
    <row r="12" spans="1:12" ht="39.950000000000003" customHeight="1" x14ac:dyDescent="0.25">
      <c r="A12" s="6" t="s">
        <v>972</v>
      </c>
      <c r="B12" s="7" t="s">
        <v>973</v>
      </c>
      <c r="C12" s="8">
        <v>1</v>
      </c>
      <c r="D12" s="9">
        <v>169.99</v>
      </c>
      <c r="E12" s="8" t="s">
        <v>974</v>
      </c>
      <c r="F12" s="7" t="s">
        <v>3431</v>
      </c>
      <c r="G12" s="10"/>
      <c r="H12" s="7" t="s">
        <v>3572</v>
      </c>
      <c r="I12" s="7" t="s">
        <v>3897</v>
      </c>
      <c r="J12" s="7"/>
      <c r="K12" s="7"/>
      <c r="L12" s="11" t="str">
        <f>HYPERLINK("http://slimages.macys.com/is/image/MCY/16792609 ")</f>
        <v xml:space="preserve">http://slimages.macys.com/is/image/MCY/16792609 </v>
      </c>
    </row>
    <row r="13" spans="1:12" ht="39.950000000000003" customHeight="1" x14ac:dyDescent="0.25">
      <c r="A13" s="6" t="s">
        <v>975</v>
      </c>
      <c r="B13" s="7" t="s">
        <v>976</v>
      </c>
      <c r="C13" s="8">
        <v>1</v>
      </c>
      <c r="D13" s="9">
        <v>104.99</v>
      </c>
      <c r="E13" s="8" t="s">
        <v>977</v>
      </c>
      <c r="F13" s="7" t="s">
        <v>3445</v>
      </c>
      <c r="G13" s="10"/>
      <c r="H13" s="7" t="s">
        <v>2471</v>
      </c>
      <c r="I13" s="7" t="s">
        <v>2575</v>
      </c>
      <c r="J13" s="7" t="s">
        <v>3426</v>
      </c>
      <c r="K13" s="7"/>
      <c r="L13" s="11" t="str">
        <f>HYPERLINK("http://slimages.macys.com/is/image/MCY/9432955 ")</f>
        <v xml:space="preserve">http://slimages.macys.com/is/image/MCY/9432955 </v>
      </c>
    </row>
    <row r="14" spans="1:12" ht="39.950000000000003" customHeight="1" x14ac:dyDescent="0.25">
      <c r="A14" s="6" t="s">
        <v>978</v>
      </c>
      <c r="B14" s="7" t="s">
        <v>979</v>
      </c>
      <c r="C14" s="8">
        <v>1</v>
      </c>
      <c r="D14" s="9">
        <v>139.99</v>
      </c>
      <c r="E14" s="8" t="s">
        <v>980</v>
      </c>
      <c r="F14" s="7" t="s">
        <v>4047</v>
      </c>
      <c r="G14" s="10"/>
      <c r="H14" s="7" t="s">
        <v>3452</v>
      </c>
      <c r="I14" s="7" t="s">
        <v>3453</v>
      </c>
      <c r="J14" s="7"/>
      <c r="K14" s="7"/>
      <c r="L14" s="11" t="str">
        <f>HYPERLINK("http://slimages.macys.com/is/image/MCY/17549504 ")</f>
        <v xml:space="preserve">http://slimages.macys.com/is/image/MCY/17549504 </v>
      </c>
    </row>
    <row r="15" spans="1:12" ht="39.950000000000003" customHeight="1" x14ac:dyDescent="0.25">
      <c r="A15" s="6" t="s">
        <v>981</v>
      </c>
      <c r="B15" s="7" t="s">
        <v>982</v>
      </c>
      <c r="C15" s="8">
        <v>1</v>
      </c>
      <c r="D15" s="9">
        <v>99.99</v>
      </c>
      <c r="E15" s="8" t="s">
        <v>983</v>
      </c>
      <c r="F15" s="7" t="s">
        <v>3431</v>
      </c>
      <c r="G15" s="10"/>
      <c r="H15" s="7" t="s">
        <v>3478</v>
      </c>
      <c r="I15" s="7" t="s">
        <v>984</v>
      </c>
      <c r="J15" s="7"/>
      <c r="K15" s="7"/>
      <c r="L15" s="11" t="str">
        <f>HYPERLINK("http://slimages.macys.com/is/image/MCY/18668675 ")</f>
        <v xml:space="preserve">http://slimages.macys.com/is/image/MCY/18668675 </v>
      </c>
    </row>
    <row r="16" spans="1:12" ht="39.950000000000003" customHeight="1" x14ac:dyDescent="0.25">
      <c r="A16" s="6" t="s">
        <v>2472</v>
      </c>
      <c r="B16" s="7" t="s">
        <v>2473</v>
      </c>
      <c r="C16" s="8">
        <v>1</v>
      </c>
      <c r="D16" s="9">
        <v>149.99</v>
      </c>
      <c r="E16" s="8" t="s">
        <v>2474</v>
      </c>
      <c r="F16" s="7" t="s">
        <v>3445</v>
      </c>
      <c r="G16" s="10"/>
      <c r="H16" s="7" t="s">
        <v>3440</v>
      </c>
      <c r="I16" s="7" t="s">
        <v>4084</v>
      </c>
      <c r="J16" s="7" t="s">
        <v>3426</v>
      </c>
      <c r="K16" s="7" t="s">
        <v>3835</v>
      </c>
      <c r="L16" s="11" t="str">
        <f>HYPERLINK("http://slimages.macys.com/is/image/MCY/3573212 ")</f>
        <v xml:space="preserve">http://slimages.macys.com/is/image/MCY/3573212 </v>
      </c>
    </row>
    <row r="17" spans="1:12" ht="39.950000000000003" customHeight="1" x14ac:dyDescent="0.25">
      <c r="A17" s="6" t="s">
        <v>985</v>
      </c>
      <c r="B17" s="7" t="s">
        <v>986</v>
      </c>
      <c r="C17" s="8">
        <v>1</v>
      </c>
      <c r="D17" s="9">
        <v>78.11</v>
      </c>
      <c r="E17" s="8" t="s">
        <v>987</v>
      </c>
      <c r="F17" s="7"/>
      <c r="G17" s="10"/>
      <c r="H17" s="7" t="s">
        <v>3452</v>
      </c>
      <c r="I17" s="7" t="s">
        <v>3453</v>
      </c>
      <c r="J17" s="7"/>
      <c r="K17" s="7"/>
      <c r="L17" s="11" t="str">
        <f>HYPERLINK("http://slimages.macys.com/is/image/MCY/17025610 ")</f>
        <v xml:space="preserve">http://slimages.macys.com/is/image/MCY/17025610 </v>
      </c>
    </row>
    <row r="18" spans="1:12" ht="39.950000000000003" customHeight="1" x14ac:dyDescent="0.25">
      <c r="A18" s="6" t="s">
        <v>988</v>
      </c>
      <c r="B18" s="7" t="s">
        <v>989</v>
      </c>
      <c r="C18" s="8">
        <v>2</v>
      </c>
      <c r="D18" s="9">
        <v>187.98</v>
      </c>
      <c r="E18" s="8" t="s">
        <v>990</v>
      </c>
      <c r="F18" s="7" t="s">
        <v>3445</v>
      </c>
      <c r="G18" s="10" t="s">
        <v>3489</v>
      </c>
      <c r="H18" s="7" t="s">
        <v>3559</v>
      </c>
      <c r="I18" s="7" t="s">
        <v>2609</v>
      </c>
      <c r="J18" s="7" t="s">
        <v>3426</v>
      </c>
      <c r="K18" s="7" t="s">
        <v>991</v>
      </c>
      <c r="L18" s="11" t="str">
        <f>HYPERLINK("http://slimages.macys.com/is/image/MCY/14355595 ")</f>
        <v xml:space="preserve">http://slimages.macys.com/is/image/MCY/14355595 </v>
      </c>
    </row>
    <row r="19" spans="1:12" ht="39.950000000000003" customHeight="1" x14ac:dyDescent="0.25">
      <c r="A19" s="6" t="s">
        <v>992</v>
      </c>
      <c r="B19" s="7" t="s">
        <v>993</v>
      </c>
      <c r="C19" s="8">
        <v>1</v>
      </c>
      <c r="D19" s="9">
        <v>79.989999999999995</v>
      </c>
      <c r="E19" s="8" t="s">
        <v>994</v>
      </c>
      <c r="F19" s="7" t="s">
        <v>3484</v>
      </c>
      <c r="G19" s="10"/>
      <c r="H19" s="7" t="s">
        <v>3452</v>
      </c>
      <c r="I19" s="7" t="s">
        <v>3834</v>
      </c>
      <c r="J19" s="7" t="s">
        <v>3426</v>
      </c>
      <c r="K19" s="7" t="s">
        <v>4251</v>
      </c>
      <c r="L19" s="11" t="str">
        <f>HYPERLINK("http://slimages.macys.com/is/image/MCY/9939883 ")</f>
        <v xml:space="preserve">http://slimages.macys.com/is/image/MCY/9939883 </v>
      </c>
    </row>
    <row r="20" spans="1:12" ht="39.950000000000003" customHeight="1" x14ac:dyDescent="0.25">
      <c r="A20" s="6" t="s">
        <v>995</v>
      </c>
      <c r="B20" s="7" t="s">
        <v>996</v>
      </c>
      <c r="C20" s="8">
        <v>1</v>
      </c>
      <c r="D20" s="9">
        <v>129.99</v>
      </c>
      <c r="E20" s="8" t="s">
        <v>997</v>
      </c>
      <c r="F20" s="7" t="s">
        <v>3445</v>
      </c>
      <c r="G20" s="10"/>
      <c r="H20" s="7" t="s">
        <v>3458</v>
      </c>
      <c r="I20" s="7" t="s">
        <v>3459</v>
      </c>
      <c r="J20" s="7" t="s">
        <v>3426</v>
      </c>
      <c r="K20" s="7" t="s">
        <v>4251</v>
      </c>
      <c r="L20" s="11" t="str">
        <f>HYPERLINK("http://slimages.macys.com/is/image/MCY/15389610 ")</f>
        <v xml:space="preserve">http://slimages.macys.com/is/image/MCY/15389610 </v>
      </c>
    </row>
    <row r="21" spans="1:12" ht="39.950000000000003" customHeight="1" x14ac:dyDescent="0.25">
      <c r="A21" s="6" t="s">
        <v>998</v>
      </c>
      <c r="B21" s="7" t="s">
        <v>999</v>
      </c>
      <c r="C21" s="8">
        <v>1</v>
      </c>
      <c r="D21" s="9">
        <v>119.99</v>
      </c>
      <c r="E21" s="8" t="s">
        <v>1000</v>
      </c>
      <c r="F21" s="7" t="s">
        <v>3720</v>
      </c>
      <c r="G21" s="10"/>
      <c r="H21" s="7" t="s">
        <v>3458</v>
      </c>
      <c r="I21" s="7" t="s">
        <v>3459</v>
      </c>
      <c r="J21" s="7" t="s">
        <v>3426</v>
      </c>
      <c r="K21" s="7" t="s">
        <v>4251</v>
      </c>
      <c r="L21" s="11" t="str">
        <f>HYPERLINK("http://slimages.macys.com/is/image/MCY/8433217 ")</f>
        <v xml:space="preserve">http://slimages.macys.com/is/image/MCY/8433217 </v>
      </c>
    </row>
    <row r="22" spans="1:12" ht="39.950000000000003" customHeight="1" x14ac:dyDescent="0.25">
      <c r="A22" s="6" t="s">
        <v>1001</v>
      </c>
      <c r="B22" s="7" t="s">
        <v>1002</v>
      </c>
      <c r="C22" s="8">
        <v>1</v>
      </c>
      <c r="D22" s="9">
        <v>225</v>
      </c>
      <c r="E22" s="8" t="s">
        <v>1003</v>
      </c>
      <c r="F22" s="7" t="s">
        <v>3445</v>
      </c>
      <c r="G22" s="10" t="s">
        <v>4031</v>
      </c>
      <c r="H22" s="7" t="s">
        <v>3525</v>
      </c>
      <c r="I22" s="7" t="s">
        <v>3996</v>
      </c>
      <c r="J22" s="7" t="s">
        <v>3564</v>
      </c>
      <c r="K22" s="7" t="s">
        <v>1004</v>
      </c>
      <c r="L22" s="11" t="str">
        <f>HYPERLINK("http://images.bloomingdales.com/is/image/BLM/10714144 ")</f>
        <v xml:space="preserve">http://images.bloomingdales.com/is/image/BLM/10714144 </v>
      </c>
    </row>
    <row r="23" spans="1:12" ht="39.950000000000003" customHeight="1" x14ac:dyDescent="0.25">
      <c r="A23" s="6" t="s">
        <v>1005</v>
      </c>
      <c r="B23" s="7" t="s">
        <v>1006</v>
      </c>
      <c r="C23" s="8">
        <v>1</v>
      </c>
      <c r="D23" s="9">
        <v>175</v>
      </c>
      <c r="E23" s="8" t="s">
        <v>1007</v>
      </c>
      <c r="F23" s="7" t="s">
        <v>3445</v>
      </c>
      <c r="G23" s="10" t="s">
        <v>3773</v>
      </c>
      <c r="H23" s="7" t="s">
        <v>3525</v>
      </c>
      <c r="I23" s="7" t="s">
        <v>1806</v>
      </c>
      <c r="J23" s="7" t="s">
        <v>3613</v>
      </c>
      <c r="K23" s="7" t="s">
        <v>3492</v>
      </c>
      <c r="L23" s="11" t="str">
        <f>HYPERLINK("http://images.bloomingdales.com/is/image/BLM/10790177 ")</f>
        <v xml:space="preserve">http://images.bloomingdales.com/is/image/BLM/10790177 </v>
      </c>
    </row>
    <row r="24" spans="1:12" ht="39.950000000000003" customHeight="1" x14ac:dyDescent="0.25">
      <c r="A24" s="6" t="s">
        <v>1008</v>
      </c>
      <c r="B24" s="7" t="s">
        <v>1009</v>
      </c>
      <c r="C24" s="8">
        <v>1</v>
      </c>
      <c r="D24" s="9">
        <v>78.11</v>
      </c>
      <c r="E24" s="8" t="s">
        <v>1010</v>
      </c>
      <c r="F24" s="7"/>
      <c r="G24" s="10"/>
      <c r="H24" s="7" t="s">
        <v>3572</v>
      </c>
      <c r="I24" s="7" t="s">
        <v>3724</v>
      </c>
      <c r="J24" s="7" t="s">
        <v>3613</v>
      </c>
      <c r="K24" s="7" t="s">
        <v>1011</v>
      </c>
      <c r="L24" s="11" t="str">
        <f>HYPERLINK("http://slimages.macys.com/is/image/MCY/3467346 ")</f>
        <v xml:space="preserve">http://slimages.macys.com/is/image/MCY/3467346 </v>
      </c>
    </row>
    <row r="25" spans="1:12" ht="39.950000000000003" customHeight="1" x14ac:dyDescent="0.25">
      <c r="A25" s="6" t="s">
        <v>1012</v>
      </c>
      <c r="B25" s="7" t="s">
        <v>1013</v>
      </c>
      <c r="C25" s="8">
        <v>1</v>
      </c>
      <c r="D25" s="9">
        <v>49.99</v>
      </c>
      <c r="E25" s="8">
        <v>22247222</v>
      </c>
      <c r="F25" s="7"/>
      <c r="G25" s="10"/>
      <c r="H25" s="7" t="s">
        <v>3478</v>
      </c>
      <c r="I25" s="7" t="s">
        <v>3517</v>
      </c>
      <c r="J25" s="7" t="s">
        <v>3426</v>
      </c>
      <c r="K25" s="7" t="s">
        <v>3518</v>
      </c>
      <c r="L25" s="11" t="str">
        <f>HYPERLINK("http://slimages.macys.com/is/image/MCY/16687861 ")</f>
        <v xml:space="preserve">http://slimages.macys.com/is/image/MCY/16687861 </v>
      </c>
    </row>
    <row r="26" spans="1:12" ht="39.950000000000003" customHeight="1" x14ac:dyDescent="0.25">
      <c r="A26" s="6" t="s">
        <v>1014</v>
      </c>
      <c r="B26" s="7" t="s">
        <v>1015</v>
      </c>
      <c r="C26" s="8">
        <v>1</v>
      </c>
      <c r="D26" s="9">
        <v>47.99</v>
      </c>
      <c r="E26" s="8" t="s">
        <v>1016</v>
      </c>
      <c r="F26" s="7" t="s">
        <v>3463</v>
      </c>
      <c r="G26" s="10"/>
      <c r="H26" s="7" t="s">
        <v>3490</v>
      </c>
      <c r="I26" s="7" t="s">
        <v>3785</v>
      </c>
      <c r="J26" s="7" t="s">
        <v>3426</v>
      </c>
      <c r="K26" s="7" t="s">
        <v>1017</v>
      </c>
      <c r="L26" s="11" t="str">
        <f>HYPERLINK("http://slimages.macys.com/is/image/MCY/13767943 ")</f>
        <v xml:space="preserve">http://slimages.macys.com/is/image/MCY/13767943 </v>
      </c>
    </row>
    <row r="27" spans="1:12" ht="39.950000000000003" customHeight="1" x14ac:dyDescent="0.25">
      <c r="A27" s="6" t="s">
        <v>2518</v>
      </c>
      <c r="B27" s="7" t="s">
        <v>2519</v>
      </c>
      <c r="C27" s="8">
        <v>1</v>
      </c>
      <c r="D27" s="9">
        <v>49.99</v>
      </c>
      <c r="E27" s="8" t="s">
        <v>2520</v>
      </c>
      <c r="F27" s="7" t="s">
        <v>3477</v>
      </c>
      <c r="G27" s="10"/>
      <c r="H27" s="7" t="s">
        <v>3542</v>
      </c>
      <c r="I27" s="7" t="s">
        <v>4234</v>
      </c>
      <c r="J27" s="7"/>
      <c r="K27" s="7"/>
      <c r="L27" s="11" t="str">
        <f>HYPERLINK("http://slimages.macys.com/is/image/MCY/17968749 ")</f>
        <v xml:space="preserve">http://slimages.macys.com/is/image/MCY/17968749 </v>
      </c>
    </row>
    <row r="28" spans="1:12" ht="39.950000000000003" customHeight="1" x14ac:dyDescent="0.25">
      <c r="A28" s="6" t="s">
        <v>3544</v>
      </c>
      <c r="B28" s="7" t="s">
        <v>3545</v>
      </c>
      <c r="C28" s="8">
        <v>1</v>
      </c>
      <c r="D28" s="9">
        <v>99.99</v>
      </c>
      <c r="E28" s="8" t="s">
        <v>3546</v>
      </c>
      <c r="F28" s="7" t="s">
        <v>3445</v>
      </c>
      <c r="G28" s="10" t="s">
        <v>3547</v>
      </c>
      <c r="H28" s="7" t="s">
        <v>3525</v>
      </c>
      <c r="I28" s="7" t="s">
        <v>3548</v>
      </c>
      <c r="J28" s="7" t="s">
        <v>3549</v>
      </c>
      <c r="K28" s="7"/>
      <c r="L28" s="11" t="str">
        <f>HYPERLINK("http://slimages.macys.com/is/image/MCY/12779303 ")</f>
        <v xml:space="preserve">http://slimages.macys.com/is/image/MCY/12779303 </v>
      </c>
    </row>
    <row r="29" spans="1:12" ht="39.950000000000003" customHeight="1" x14ac:dyDescent="0.25">
      <c r="A29" s="6" t="s">
        <v>1018</v>
      </c>
      <c r="B29" s="7" t="s">
        <v>1019</v>
      </c>
      <c r="C29" s="8">
        <v>2</v>
      </c>
      <c r="D29" s="9">
        <v>81.98</v>
      </c>
      <c r="E29" s="8" t="s">
        <v>1020</v>
      </c>
      <c r="F29" s="7" t="s">
        <v>4047</v>
      </c>
      <c r="G29" s="10" t="s">
        <v>3809</v>
      </c>
      <c r="H29" s="7" t="s">
        <v>3490</v>
      </c>
      <c r="I29" s="7" t="s">
        <v>1021</v>
      </c>
      <c r="J29" s="7" t="s">
        <v>3549</v>
      </c>
      <c r="K29" s="7" t="s">
        <v>1022</v>
      </c>
      <c r="L29" s="11" t="str">
        <f>HYPERLINK("http://slimages.macys.com/is/image/MCY/10272259 ")</f>
        <v xml:space="preserve">http://slimages.macys.com/is/image/MCY/10272259 </v>
      </c>
    </row>
    <row r="30" spans="1:12" ht="39.950000000000003" customHeight="1" x14ac:dyDescent="0.25">
      <c r="A30" s="6" t="s">
        <v>2973</v>
      </c>
      <c r="B30" s="7" t="s">
        <v>2974</v>
      </c>
      <c r="C30" s="8">
        <v>3</v>
      </c>
      <c r="D30" s="9">
        <v>119.97</v>
      </c>
      <c r="E30" s="8" t="s">
        <v>2975</v>
      </c>
      <c r="F30" s="7" t="s">
        <v>3445</v>
      </c>
      <c r="G30" s="10" t="s">
        <v>2503</v>
      </c>
      <c r="H30" s="7" t="s">
        <v>3559</v>
      </c>
      <c r="I30" s="7" t="s">
        <v>3777</v>
      </c>
      <c r="J30" s="7"/>
      <c r="K30" s="7"/>
      <c r="L30" s="11" t="str">
        <f>HYPERLINK("http://slimages.macys.com/is/image/MCY/17546507 ")</f>
        <v xml:space="preserve">http://slimages.macys.com/is/image/MCY/17546507 </v>
      </c>
    </row>
    <row r="31" spans="1:12" ht="39.950000000000003" customHeight="1" x14ac:dyDescent="0.25">
      <c r="A31" s="6" t="s">
        <v>1023</v>
      </c>
      <c r="B31" s="7" t="s">
        <v>1024</v>
      </c>
      <c r="C31" s="8">
        <v>1</v>
      </c>
      <c r="D31" s="9">
        <v>27.99</v>
      </c>
      <c r="E31" s="8" t="s">
        <v>1025</v>
      </c>
      <c r="F31" s="7" t="s">
        <v>3720</v>
      </c>
      <c r="G31" s="10"/>
      <c r="H31" s="7" t="s">
        <v>3542</v>
      </c>
      <c r="I31" s="7" t="s">
        <v>4143</v>
      </c>
      <c r="J31" s="7" t="s">
        <v>3426</v>
      </c>
      <c r="K31" s="7" t="s">
        <v>1026</v>
      </c>
      <c r="L31" s="11" t="str">
        <f>HYPERLINK("http://slimages.macys.com/is/image/MCY/11317848 ")</f>
        <v xml:space="preserve">http://slimages.macys.com/is/image/MCY/11317848 </v>
      </c>
    </row>
    <row r="32" spans="1:12" ht="39.950000000000003" customHeight="1" x14ac:dyDescent="0.25">
      <c r="A32" s="6" t="s">
        <v>1027</v>
      </c>
      <c r="B32" s="7" t="s">
        <v>1028</v>
      </c>
      <c r="C32" s="8">
        <v>1</v>
      </c>
      <c r="D32" s="9">
        <v>39.99</v>
      </c>
      <c r="E32" s="8" t="s">
        <v>1029</v>
      </c>
      <c r="F32" s="7" t="s">
        <v>3431</v>
      </c>
      <c r="G32" s="10"/>
      <c r="H32" s="7" t="s">
        <v>3568</v>
      </c>
      <c r="I32" s="7" t="s">
        <v>2700</v>
      </c>
      <c r="J32" s="7" t="s">
        <v>3613</v>
      </c>
      <c r="K32" s="7" t="s">
        <v>3518</v>
      </c>
      <c r="L32" s="11" t="str">
        <f>HYPERLINK("http://slimages.macys.com/is/image/MCY/9356851 ")</f>
        <v xml:space="preserve">http://slimages.macys.com/is/image/MCY/9356851 </v>
      </c>
    </row>
    <row r="33" spans="1:12" ht="39.950000000000003" customHeight="1" x14ac:dyDescent="0.25">
      <c r="A33" s="6" t="s">
        <v>1030</v>
      </c>
      <c r="B33" s="7" t="s">
        <v>1031</v>
      </c>
      <c r="C33" s="8">
        <v>2</v>
      </c>
      <c r="D33" s="9">
        <v>57.98</v>
      </c>
      <c r="E33" s="8" t="s">
        <v>1032</v>
      </c>
      <c r="F33" s="7" t="s">
        <v>3445</v>
      </c>
      <c r="G33" s="10"/>
      <c r="H33" s="7" t="s">
        <v>3583</v>
      </c>
      <c r="I33" s="7" t="s">
        <v>1033</v>
      </c>
      <c r="J33" s="7" t="s">
        <v>3426</v>
      </c>
      <c r="K33" s="7" t="s">
        <v>1998</v>
      </c>
      <c r="L33" s="11" t="str">
        <f>HYPERLINK("http://slimages.macys.com/is/image/MCY/15745734 ")</f>
        <v xml:space="preserve">http://slimages.macys.com/is/image/MCY/15745734 </v>
      </c>
    </row>
    <row r="34" spans="1:12" ht="39.950000000000003" customHeight="1" x14ac:dyDescent="0.25">
      <c r="A34" s="6" t="s">
        <v>1034</v>
      </c>
      <c r="B34" s="7" t="s">
        <v>1035</v>
      </c>
      <c r="C34" s="8">
        <v>1</v>
      </c>
      <c r="D34" s="9">
        <v>34.99</v>
      </c>
      <c r="E34" s="8" t="s">
        <v>1036</v>
      </c>
      <c r="F34" s="7" t="s">
        <v>3720</v>
      </c>
      <c r="G34" s="10" t="s">
        <v>2927</v>
      </c>
      <c r="H34" s="7" t="s">
        <v>3458</v>
      </c>
      <c r="I34" s="7" t="s">
        <v>3459</v>
      </c>
      <c r="J34" s="7" t="s">
        <v>3426</v>
      </c>
      <c r="K34" s="7"/>
      <c r="L34" s="11" t="str">
        <f>HYPERLINK("http://slimages.macys.com/is/image/MCY/8435667 ")</f>
        <v xml:space="preserve">http://slimages.macys.com/is/image/MCY/8435667 </v>
      </c>
    </row>
    <row r="35" spans="1:12" ht="39.950000000000003" customHeight="1" x14ac:dyDescent="0.25">
      <c r="A35" s="6" t="s">
        <v>1037</v>
      </c>
      <c r="B35" s="7" t="s">
        <v>1038</v>
      </c>
      <c r="C35" s="8">
        <v>1</v>
      </c>
      <c r="D35" s="9">
        <v>27.99</v>
      </c>
      <c r="E35" s="8">
        <v>55917</v>
      </c>
      <c r="F35" s="7" t="s">
        <v>3445</v>
      </c>
      <c r="G35" s="10"/>
      <c r="H35" s="7" t="s">
        <v>3490</v>
      </c>
      <c r="I35" s="7" t="s">
        <v>3649</v>
      </c>
      <c r="J35" s="7" t="s">
        <v>3426</v>
      </c>
      <c r="K35" s="7" t="s">
        <v>3518</v>
      </c>
      <c r="L35" s="11" t="str">
        <f>HYPERLINK("http://slimages.macys.com/is/image/MCY/14663254 ")</f>
        <v xml:space="preserve">http://slimages.macys.com/is/image/MCY/14663254 </v>
      </c>
    </row>
    <row r="36" spans="1:12" ht="39.950000000000003" customHeight="1" x14ac:dyDescent="0.25">
      <c r="A36" s="6" t="s">
        <v>1039</v>
      </c>
      <c r="B36" s="7" t="s">
        <v>1040</v>
      </c>
      <c r="C36" s="8">
        <v>1</v>
      </c>
      <c r="D36" s="9">
        <v>44.99</v>
      </c>
      <c r="E36" s="8" t="s">
        <v>1041</v>
      </c>
      <c r="F36" s="7" t="s">
        <v>3451</v>
      </c>
      <c r="G36" s="10"/>
      <c r="H36" s="7" t="s">
        <v>3452</v>
      </c>
      <c r="I36" s="7" t="s">
        <v>3453</v>
      </c>
      <c r="J36" s="7"/>
      <c r="K36" s="7"/>
      <c r="L36" s="11" t="str">
        <f>HYPERLINK("http://slimages.macys.com/is/image/MCY/17451314 ")</f>
        <v xml:space="preserve">http://slimages.macys.com/is/image/MCY/17451314 </v>
      </c>
    </row>
    <row r="37" spans="1:12" ht="39.950000000000003" customHeight="1" x14ac:dyDescent="0.25">
      <c r="A37" s="6" t="s">
        <v>743</v>
      </c>
      <c r="B37" s="7" t="s">
        <v>744</v>
      </c>
      <c r="C37" s="8">
        <v>1</v>
      </c>
      <c r="D37" s="9">
        <v>24.99</v>
      </c>
      <c r="E37" s="8" t="s">
        <v>745</v>
      </c>
      <c r="F37" s="7"/>
      <c r="G37" s="10" t="s">
        <v>3641</v>
      </c>
      <c r="H37" s="7" t="s">
        <v>3478</v>
      </c>
      <c r="I37" s="7" t="s">
        <v>2572</v>
      </c>
      <c r="J37" s="7"/>
      <c r="K37" s="7"/>
      <c r="L37" s="11" t="str">
        <f>HYPERLINK("http://slimages.macys.com/is/image/MCY/17893199 ")</f>
        <v xml:space="preserve">http://slimages.macys.com/is/image/MCY/17893199 </v>
      </c>
    </row>
    <row r="38" spans="1:12" ht="39.950000000000003" customHeight="1" x14ac:dyDescent="0.25">
      <c r="A38" s="6" t="s">
        <v>1042</v>
      </c>
      <c r="B38" s="7" t="s">
        <v>1043</v>
      </c>
      <c r="C38" s="8">
        <v>1</v>
      </c>
      <c r="D38" s="9">
        <v>29.99</v>
      </c>
      <c r="E38" s="8" t="s">
        <v>1044</v>
      </c>
      <c r="F38" s="7" t="s">
        <v>3431</v>
      </c>
      <c r="G38" s="10"/>
      <c r="H38" s="7" t="s">
        <v>3583</v>
      </c>
      <c r="I38" s="7" t="s">
        <v>3553</v>
      </c>
      <c r="J38" s="7" t="s">
        <v>3426</v>
      </c>
      <c r="K38" s="7" t="s">
        <v>1045</v>
      </c>
      <c r="L38" s="11" t="str">
        <f>HYPERLINK("http://slimages.macys.com/is/image/MCY/10044269 ")</f>
        <v xml:space="preserve">http://slimages.macys.com/is/image/MCY/10044269 </v>
      </c>
    </row>
    <row r="39" spans="1:12" ht="39.950000000000003" customHeight="1" x14ac:dyDescent="0.25">
      <c r="A39" s="6" t="s">
        <v>1046</v>
      </c>
      <c r="B39" s="7" t="s">
        <v>1047</v>
      </c>
      <c r="C39" s="8">
        <v>1</v>
      </c>
      <c r="D39" s="9">
        <v>59.99</v>
      </c>
      <c r="E39" s="8" t="s">
        <v>1048</v>
      </c>
      <c r="F39" s="7" t="s">
        <v>3804</v>
      </c>
      <c r="G39" s="10" t="s">
        <v>3599</v>
      </c>
      <c r="H39" s="7" t="s">
        <v>2991</v>
      </c>
      <c r="I39" s="7" t="s">
        <v>3446</v>
      </c>
      <c r="J39" s="7" t="s">
        <v>3426</v>
      </c>
      <c r="K39" s="7" t="s">
        <v>3556</v>
      </c>
      <c r="L39" s="11" t="str">
        <f>HYPERLINK("http://slimages.macys.com/is/image/MCY/3534387 ")</f>
        <v xml:space="preserve">http://slimages.macys.com/is/image/MCY/3534387 </v>
      </c>
    </row>
    <row r="40" spans="1:12" ht="39.950000000000003" customHeight="1" x14ac:dyDescent="0.25">
      <c r="A40" s="6" t="s">
        <v>4371</v>
      </c>
      <c r="B40" s="7" t="s">
        <v>4372</v>
      </c>
      <c r="C40" s="8">
        <v>1</v>
      </c>
      <c r="D40" s="9">
        <v>21.99</v>
      </c>
      <c r="E40" s="8" t="s">
        <v>4373</v>
      </c>
      <c r="F40" s="7" t="s">
        <v>3445</v>
      </c>
      <c r="G40" s="10"/>
      <c r="H40" s="7" t="s">
        <v>3542</v>
      </c>
      <c r="I40" s="7" t="s">
        <v>4374</v>
      </c>
      <c r="J40" s="7" t="s">
        <v>3426</v>
      </c>
      <c r="K40" s="7" t="s">
        <v>4300</v>
      </c>
      <c r="L40" s="11" t="str">
        <f>HYPERLINK("http://slimages.macys.com/is/image/MCY/10681725 ")</f>
        <v xml:space="preserve">http://slimages.macys.com/is/image/MCY/10681725 </v>
      </c>
    </row>
    <row r="41" spans="1:12" ht="39.950000000000003" customHeight="1" x14ac:dyDescent="0.25">
      <c r="A41" s="6" t="s">
        <v>1049</v>
      </c>
      <c r="B41" s="7" t="s">
        <v>1050</v>
      </c>
      <c r="C41" s="8">
        <v>1</v>
      </c>
      <c r="D41" s="9">
        <v>26.99</v>
      </c>
      <c r="E41" s="8">
        <v>53469</v>
      </c>
      <c r="F41" s="7" t="s">
        <v>3720</v>
      </c>
      <c r="G41" s="10" t="s">
        <v>3983</v>
      </c>
      <c r="H41" s="7" t="s">
        <v>3490</v>
      </c>
      <c r="I41" s="7" t="s">
        <v>3649</v>
      </c>
      <c r="J41" s="7" t="s">
        <v>3426</v>
      </c>
      <c r="K41" s="7" t="s">
        <v>3518</v>
      </c>
      <c r="L41" s="11" t="str">
        <f>HYPERLINK("http://slimages.macys.com/is/image/MCY/10010128 ")</f>
        <v xml:space="preserve">http://slimages.macys.com/is/image/MCY/10010128 </v>
      </c>
    </row>
    <row r="42" spans="1:12" ht="39.950000000000003" customHeight="1" x14ac:dyDescent="0.25">
      <c r="A42" s="6" t="s">
        <v>3164</v>
      </c>
      <c r="B42" s="7" t="s">
        <v>3165</v>
      </c>
      <c r="C42" s="8">
        <v>2</v>
      </c>
      <c r="D42" s="9">
        <v>83.98</v>
      </c>
      <c r="E42" s="8" t="s">
        <v>3166</v>
      </c>
      <c r="F42" s="7" t="s">
        <v>3610</v>
      </c>
      <c r="G42" s="10" t="s">
        <v>3773</v>
      </c>
      <c r="H42" s="7" t="s">
        <v>3525</v>
      </c>
      <c r="I42" s="7" t="s">
        <v>3612</v>
      </c>
      <c r="J42" s="7" t="s">
        <v>3613</v>
      </c>
      <c r="K42" s="7"/>
      <c r="L42" s="11" t="str">
        <f>HYPERLINK("http://slimages.macys.com/is/image/MCY/9406085 ")</f>
        <v xml:space="preserve">http://slimages.macys.com/is/image/MCY/9406085 </v>
      </c>
    </row>
    <row r="43" spans="1:12" ht="39.950000000000003" customHeight="1" x14ac:dyDescent="0.25">
      <c r="A43" s="6" t="s">
        <v>2701</v>
      </c>
      <c r="B43" s="7" t="s">
        <v>2702</v>
      </c>
      <c r="C43" s="8">
        <v>1</v>
      </c>
      <c r="D43" s="9">
        <v>19.989999999999998</v>
      </c>
      <c r="E43" s="8" t="s">
        <v>2703</v>
      </c>
      <c r="F43" s="7" t="s">
        <v>3463</v>
      </c>
      <c r="G43" s="10"/>
      <c r="H43" s="7" t="s">
        <v>3542</v>
      </c>
      <c r="I43" s="7" t="s">
        <v>3577</v>
      </c>
      <c r="J43" s="7" t="s">
        <v>3426</v>
      </c>
      <c r="K43" s="7" t="s">
        <v>3518</v>
      </c>
      <c r="L43" s="11" t="str">
        <f>HYPERLINK("http://slimages.macys.com/is/image/MCY/13743272 ")</f>
        <v xml:space="preserve">http://slimages.macys.com/is/image/MCY/13743272 </v>
      </c>
    </row>
    <row r="44" spans="1:12" ht="39.950000000000003" customHeight="1" x14ac:dyDescent="0.25">
      <c r="A44" s="6" t="s">
        <v>1051</v>
      </c>
      <c r="B44" s="7" t="s">
        <v>1052</v>
      </c>
      <c r="C44" s="8">
        <v>1</v>
      </c>
      <c r="D44" s="9">
        <v>29.99</v>
      </c>
      <c r="E44" s="8" t="s">
        <v>1053</v>
      </c>
      <c r="F44" s="7" t="s">
        <v>3938</v>
      </c>
      <c r="G44" s="10"/>
      <c r="H44" s="7" t="s">
        <v>3432</v>
      </c>
      <c r="I44" s="7" t="s">
        <v>4119</v>
      </c>
      <c r="J44" s="7" t="s">
        <v>3426</v>
      </c>
      <c r="K44" s="7" t="s">
        <v>3518</v>
      </c>
      <c r="L44" s="11" t="str">
        <f>HYPERLINK("http://slimages.macys.com/is/image/MCY/3769061 ")</f>
        <v xml:space="preserve">http://slimages.macys.com/is/image/MCY/3769061 </v>
      </c>
    </row>
    <row r="45" spans="1:12" ht="39.950000000000003" customHeight="1" x14ac:dyDescent="0.25">
      <c r="A45" s="6" t="s">
        <v>1054</v>
      </c>
      <c r="B45" s="7" t="s">
        <v>1055</v>
      </c>
      <c r="C45" s="8">
        <v>1</v>
      </c>
      <c r="D45" s="9">
        <v>39.99</v>
      </c>
      <c r="E45" s="8">
        <v>1005517800</v>
      </c>
      <c r="F45" s="7" t="s">
        <v>3445</v>
      </c>
      <c r="G45" s="10" t="s">
        <v>1056</v>
      </c>
      <c r="H45" s="7" t="s">
        <v>2991</v>
      </c>
      <c r="I45" s="7" t="s">
        <v>3446</v>
      </c>
      <c r="J45" s="7" t="s">
        <v>3426</v>
      </c>
      <c r="K45" s="7" t="s">
        <v>3492</v>
      </c>
      <c r="L45" s="11" t="str">
        <f>HYPERLINK("http://slimages.macys.com/is/image/MCY/11526669 ")</f>
        <v xml:space="preserve">http://slimages.macys.com/is/image/MCY/11526669 </v>
      </c>
    </row>
    <row r="46" spans="1:12" ht="39.950000000000003" customHeight="1" x14ac:dyDescent="0.25">
      <c r="A46" s="6" t="s">
        <v>1057</v>
      </c>
      <c r="B46" s="7" t="s">
        <v>1058</v>
      </c>
      <c r="C46" s="8">
        <v>1</v>
      </c>
      <c r="D46" s="9">
        <v>34.99</v>
      </c>
      <c r="E46" s="8" t="s">
        <v>1059</v>
      </c>
      <c r="F46" s="7" t="s">
        <v>3477</v>
      </c>
      <c r="G46" s="10"/>
      <c r="H46" s="7" t="s">
        <v>3452</v>
      </c>
      <c r="I46" s="7" t="s">
        <v>3453</v>
      </c>
      <c r="J46" s="7"/>
      <c r="K46" s="7"/>
      <c r="L46" s="11" t="str">
        <f>HYPERLINK("http://slimages.macys.com/is/image/MCY/18513740 ")</f>
        <v xml:space="preserve">http://slimages.macys.com/is/image/MCY/18513740 </v>
      </c>
    </row>
    <row r="47" spans="1:12" ht="39.950000000000003" customHeight="1" x14ac:dyDescent="0.25">
      <c r="A47" s="6" t="s">
        <v>1060</v>
      </c>
      <c r="B47" s="7" t="s">
        <v>1061</v>
      </c>
      <c r="C47" s="8">
        <v>1</v>
      </c>
      <c r="D47" s="9">
        <v>78.11</v>
      </c>
      <c r="E47" s="8">
        <v>29410</v>
      </c>
      <c r="F47" s="7"/>
      <c r="G47" s="10"/>
      <c r="H47" s="7" t="s">
        <v>3478</v>
      </c>
      <c r="I47" s="7" t="s">
        <v>1062</v>
      </c>
      <c r="J47" s="7" t="s">
        <v>3426</v>
      </c>
      <c r="K47" s="7" t="s">
        <v>3492</v>
      </c>
      <c r="L47" s="11" t="str">
        <f>HYPERLINK("http://slimages.macys.com/is/image/MCY/13919181 ")</f>
        <v xml:space="preserve">http://slimages.macys.com/is/image/MCY/13919181 </v>
      </c>
    </row>
    <row r="48" spans="1:12" ht="39.950000000000003" customHeight="1" x14ac:dyDescent="0.25">
      <c r="A48" s="6" t="s">
        <v>1063</v>
      </c>
      <c r="B48" s="7" t="s">
        <v>1064</v>
      </c>
      <c r="C48" s="8">
        <v>1</v>
      </c>
      <c r="D48" s="9">
        <v>39.99</v>
      </c>
      <c r="E48" s="8" t="s">
        <v>1065</v>
      </c>
      <c r="F48" s="7" t="s">
        <v>3451</v>
      </c>
      <c r="G48" s="10"/>
      <c r="H48" s="7" t="s">
        <v>3452</v>
      </c>
      <c r="I48" s="7" t="s">
        <v>3453</v>
      </c>
      <c r="J48" s="7" t="s">
        <v>3426</v>
      </c>
      <c r="K48" s="7" t="s">
        <v>3556</v>
      </c>
      <c r="L48" s="11" t="str">
        <f>HYPERLINK("http://slimages.macys.com/is/image/MCY/9275605 ")</f>
        <v xml:space="preserve">http://slimages.macys.com/is/image/MCY/9275605 </v>
      </c>
    </row>
    <row r="49" spans="1:12" ht="39.950000000000003" customHeight="1" x14ac:dyDescent="0.25">
      <c r="A49" s="6" t="s">
        <v>1066</v>
      </c>
      <c r="B49" s="7" t="s">
        <v>1067</v>
      </c>
      <c r="C49" s="8">
        <v>1</v>
      </c>
      <c r="D49" s="9">
        <v>34.99</v>
      </c>
      <c r="E49" s="8" t="s">
        <v>1068</v>
      </c>
      <c r="F49" s="7" t="s">
        <v>4047</v>
      </c>
      <c r="G49" s="10"/>
      <c r="H49" s="7" t="s">
        <v>3452</v>
      </c>
      <c r="I49" s="7" t="s">
        <v>3453</v>
      </c>
      <c r="J49" s="7"/>
      <c r="K49" s="7"/>
      <c r="L49" s="11" t="str">
        <f>HYPERLINK("http://slimages.macys.com/is/image/MCY/17450425 ")</f>
        <v xml:space="preserve">http://slimages.macys.com/is/image/MCY/17450425 </v>
      </c>
    </row>
    <row r="50" spans="1:12" ht="39.950000000000003" customHeight="1" x14ac:dyDescent="0.25">
      <c r="A50" s="6" t="s">
        <v>1069</v>
      </c>
      <c r="B50" s="7" t="s">
        <v>1070</v>
      </c>
      <c r="C50" s="8">
        <v>1</v>
      </c>
      <c r="D50" s="9">
        <v>16.989999999999998</v>
      </c>
      <c r="E50" s="8">
        <v>1006327100</v>
      </c>
      <c r="F50" s="7" t="s">
        <v>3431</v>
      </c>
      <c r="G50" s="10" t="s">
        <v>3653</v>
      </c>
      <c r="H50" s="7" t="s">
        <v>3654</v>
      </c>
      <c r="I50" s="7" t="s">
        <v>3655</v>
      </c>
      <c r="J50" s="7" t="s">
        <v>3426</v>
      </c>
      <c r="K50" s="7" t="s">
        <v>3492</v>
      </c>
      <c r="L50" s="11" t="str">
        <f>HYPERLINK("http://slimages.macys.com/is/image/MCY/13469602 ")</f>
        <v xml:space="preserve">http://slimages.macys.com/is/image/MCY/13469602 </v>
      </c>
    </row>
    <row r="51" spans="1:12" ht="39.950000000000003" customHeight="1" x14ac:dyDescent="0.25">
      <c r="A51" s="6" t="s">
        <v>1071</v>
      </c>
      <c r="B51" s="7" t="s">
        <v>1072</v>
      </c>
      <c r="C51" s="8">
        <v>1</v>
      </c>
      <c r="D51" s="9">
        <v>15.99</v>
      </c>
      <c r="E51" s="8" t="s">
        <v>1073</v>
      </c>
      <c r="F51" s="7" t="s">
        <v>3445</v>
      </c>
      <c r="G51" s="10" t="s">
        <v>3489</v>
      </c>
      <c r="H51" s="7" t="s">
        <v>3583</v>
      </c>
      <c r="I51" s="7" t="s">
        <v>1074</v>
      </c>
      <c r="J51" s="7"/>
      <c r="K51" s="7"/>
      <c r="L51" s="11" t="str">
        <f>HYPERLINK("http://slimages.macys.com/is/image/MCY/17787171 ")</f>
        <v xml:space="preserve">http://slimages.macys.com/is/image/MCY/17787171 </v>
      </c>
    </row>
    <row r="52" spans="1:12" ht="39.950000000000003" customHeight="1" x14ac:dyDescent="0.25">
      <c r="A52" s="6" t="s">
        <v>1075</v>
      </c>
      <c r="B52" s="7" t="s">
        <v>1076</v>
      </c>
      <c r="C52" s="8">
        <v>1</v>
      </c>
      <c r="D52" s="9">
        <v>29.99</v>
      </c>
      <c r="E52" s="8" t="s">
        <v>1077</v>
      </c>
      <c r="F52" s="7" t="s">
        <v>3687</v>
      </c>
      <c r="G52" s="10"/>
      <c r="H52" s="7" t="s">
        <v>3452</v>
      </c>
      <c r="I52" s="7" t="s">
        <v>3453</v>
      </c>
      <c r="J52" s="7"/>
      <c r="K52" s="7"/>
      <c r="L52" s="11" t="str">
        <f>HYPERLINK("http://slimages.macys.com/is/image/MCY/18941429 ")</f>
        <v xml:space="preserve">http://slimages.macys.com/is/image/MCY/18941429 </v>
      </c>
    </row>
    <row r="53" spans="1:12" ht="39.950000000000003" customHeight="1" x14ac:dyDescent="0.25">
      <c r="A53" s="6" t="s">
        <v>1078</v>
      </c>
      <c r="B53" s="7" t="s">
        <v>1079</v>
      </c>
      <c r="C53" s="8">
        <v>1</v>
      </c>
      <c r="D53" s="9">
        <v>15.99</v>
      </c>
      <c r="E53" s="8" t="s">
        <v>1080</v>
      </c>
      <c r="F53" s="7" t="s">
        <v>4101</v>
      </c>
      <c r="G53" s="10"/>
      <c r="H53" s="7" t="s">
        <v>3583</v>
      </c>
      <c r="I53" s="7" t="s">
        <v>4183</v>
      </c>
      <c r="J53" s="7" t="s">
        <v>3426</v>
      </c>
      <c r="K53" s="7"/>
      <c r="L53" s="11" t="str">
        <f>HYPERLINK("http://slimages.macys.com/is/image/MCY/8900128 ")</f>
        <v xml:space="preserve">http://slimages.macys.com/is/image/MCY/8900128 </v>
      </c>
    </row>
    <row r="54" spans="1:12" ht="39.950000000000003" customHeight="1" x14ac:dyDescent="0.25">
      <c r="A54" s="6" t="s">
        <v>1081</v>
      </c>
      <c r="B54" s="7" t="s">
        <v>1082</v>
      </c>
      <c r="C54" s="8">
        <v>1</v>
      </c>
      <c r="D54" s="9">
        <v>16.989999999999998</v>
      </c>
      <c r="E54" s="8" t="s">
        <v>1083</v>
      </c>
      <c r="F54" s="7" t="s">
        <v>3431</v>
      </c>
      <c r="G54" s="10"/>
      <c r="H54" s="7" t="s">
        <v>3583</v>
      </c>
      <c r="I54" s="7" t="s">
        <v>3517</v>
      </c>
      <c r="J54" s="7" t="s">
        <v>3613</v>
      </c>
      <c r="K54" s="7" t="s">
        <v>1084</v>
      </c>
      <c r="L54" s="11" t="str">
        <f>HYPERLINK("http://slimages.macys.com/is/image/MCY/9515656 ")</f>
        <v xml:space="preserve">http://slimages.macys.com/is/image/MCY/9515656 </v>
      </c>
    </row>
    <row r="55" spans="1:12" ht="39.950000000000003" customHeight="1" x14ac:dyDescent="0.25">
      <c r="A55" s="6" t="s">
        <v>1085</v>
      </c>
      <c r="B55" s="7" t="s">
        <v>1086</v>
      </c>
      <c r="C55" s="8">
        <v>1</v>
      </c>
      <c r="D55" s="9">
        <v>39.99</v>
      </c>
      <c r="E55" s="8" t="s">
        <v>1087</v>
      </c>
      <c r="F55" s="7" t="s">
        <v>3720</v>
      </c>
      <c r="G55" s="10"/>
      <c r="H55" s="7" t="s">
        <v>3458</v>
      </c>
      <c r="I55" s="7" t="s">
        <v>3459</v>
      </c>
      <c r="J55" s="7" t="s">
        <v>3426</v>
      </c>
      <c r="K55" s="7"/>
      <c r="L55" s="11" t="str">
        <f>HYPERLINK("http://slimages.macys.com/is/image/MCY/8433239 ")</f>
        <v xml:space="preserve">http://slimages.macys.com/is/image/MCY/8433239 </v>
      </c>
    </row>
    <row r="56" spans="1:12" ht="39.950000000000003" customHeight="1" x14ac:dyDescent="0.25">
      <c r="A56" s="6" t="s">
        <v>1088</v>
      </c>
      <c r="B56" s="7" t="s">
        <v>1089</v>
      </c>
      <c r="C56" s="8">
        <v>1</v>
      </c>
      <c r="D56" s="9">
        <v>9.99</v>
      </c>
      <c r="E56" s="8" t="s">
        <v>1090</v>
      </c>
      <c r="F56" s="7" t="s">
        <v>3938</v>
      </c>
      <c r="G56" s="10" t="s">
        <v>4360</v>
      </c>
      <c r="H56" s="7" t="s">
        <v>3654</v>
      </c>
      <c r="I56" s="7" t="s">
        <v>3655</v>
      </c>
      <c r="J56" s="7" t="s">
        <v>3426</v>
      </c>
      <c r="K56" s="7" t="s">
        <v>3556</v>
      </c>
      <c r="L56" s="11" t="str">
        <f>HYPERLINK("http://slimages.macys.com/is/image/MCY/13285497 ")</f>
        <v xml:space="preserve">http://slimages.macys.com/is/image/MCY/13285497 </v>
      </c>
    </row>
    <row r="57" spans="1:12" ht="39.950000000000003" customHeight="1" x14ac:dyDescent="0.25">
      <c r="A57" s="6" t="s">
        <v>3667</v>
      </c>
      <c r="B57" s="7" t="s">
        <v>3668</v>
      </c>
      <c r="C57" s="8">
        <v>4</v>
      </c>
      <c r="D57" s="9">
        <v>160</v>
      </c>
      <c r="E57" s="8"/>
      <c r="F57" s="7" t="s">
        <v>3610</v>
      </c>
      <c r="G57" s="10" t="s">
        <v>3489</v>
      </c>
      <c r="H57" s="7" t="s">
        <v>3669</v>
      </c>
      <c r="I57" s="7" t="s">
        <v>3670</v>
      </c>
      <c r="J57" s="7"/>
      <c r="K57" s="7"/>
      <c r="L57" s="11"/>
    </row>
  </sheetData>
  <phoneticPr fontId="0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/>
  </sheetViews>
  <sheetFormatPr defaultRowHeight="15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1091</v>
      </c>
      <c r="B2" s="7" t="s">
        <v>1092</v>
      </c>
      <c r="C2" s="8">
        <v>1</v>
      </c>
      <c r="D2" s="9">
        <v>500</v>
      </c>
      <c r="E2" s="8" t="s">
        <v>1093</v>
      </c>
      <c r="F2" s="7" t="s">
        <v>3720</v>
      </c>
      <c r="G2" s="10" t="s">
        <v>3694</v>
      </c>
      <c r="H2" s="7" t="s">
        <v>3695</v>
      </c>
      <c r="I2" s="7" t="s">
        <v>3696</v>
      </c>
      <c r="J2" s="7"/>
      <c r="K2" s="7"/>
      <c r="L2" s="11" t="str">
        <f>HYPERLINK("http://slimages.macys.com/is/image/MCY/16904298 ")</f>
        <v xml:space="preserve">http://slimages.macys.com/is/image/MCY/16904298 </v>
      </c>
    </row>
    <row r="3" spans="1:12" ht="39.950000000000003" customHeight="1" x14ac:dyDescent="0.25">
      <c r="A3" s="6" t="s">
        <v>1094</v>
      </c>
      <c r="B3" s="7" t="s">
        <v>1095</v>
      </c>
      <c r="C3" s="8">
        <v>1</v>
      </c>
      <c r="D3" s="9">
        <v>265</v>
      </c>
      <c r="E3" s="8" t="s">
        <v>1096</v>
      </c>
      <c r="F3" s="7" t="s">
        <v>3504</v>
      </c>
      <c r="G3" s="10" t="s">
        <v>1097</v>
      </c>
      <c r="H3" s="7" t="s">
        <v>3478</v>
      </c>
      <c r="I3" s="7" t="s">
        <v>3043</v>
      </c>
      <c r="J3" s="7" t="s">
        <v>3044</v>
      </c>
      <c r="K3" s="7" t="s">
        <v>1098</v>
      </c>
      <c r="L3" s="11" t="str">
        <f>HYPERLINK("http://images.bloomingdales.com/is/image/BLM/10742804 ")</f>
        <v xml:space="preserve">http://images.bloomingdales.com/is/image/BLM/10742804 </v>
      </c>
    </row>
    <row r="4" spans="1:12" ht="39.950000000000003" customHeight="1" x14ac:dyDescent="0.25">
      <c r="A4" s="6" t="s">
        <v>1099</v>
      </c>
      <c r="B4" s="7" t="s">
        <v>1100</v>
      </c>
      <c r="C4" s="8">
        <v>1</v>
      </c>
      <c r="D4" s="9">
        <v>600</v>
      </c>
      <c r="E4" s="8" t="s">
        <v>1101</v>
      </c>
      <c r="F4" s="7" t="s">
        <v>3445</v>
      </c>
      <c r="G4" s="10" t="s">
        <v>3547</v>
      </c>
      <c r="H4" s="7" t="s">
        <v>3525</v>
      </c>
      <c r="I4" s="7" t="s">
        <v>3996</v>
      </c>
      <c r="J4" s="7" t="s">
        <v>3564</v>
      </c>
      <c r="K4" s="7"/>
      <c r="L4" s="11" t="str">
        <f>HYPERLINK("http://images.bloomingdales.com/is/image/BLM/10265452 ")</f>
        <v xml:space="preserve">http://images.bloomingdales.com/is/image/BLM/10265452 </v>
      </c>
    </row>
    <row r="5" spans="1:12" ht="39.950000000000003" customHeight="1" x14ac:dyDescent="0.25">
      <c r="A5" s="6" t="s">
        <v>1102</v>
      </c>
      <c r="B5" s="7" t="s">
        <v>1095</v>
      </c>
      <c r="C5" s="8">
        <v>1</v>
      </c>
      <c r="D5" s="9">
        <v>180</v>
      </c>
      <c r="E5" s="8" t="s">
        <v>1103</v>
      </c>
      <c r="F5" s="7" t="s">
        <v>3504</v>
      </c>
      <c r="G5" s="10"/>
      <c r="H5" s="7" t="s">
        <v>3478</v>
      </c>
      <c r="I5" s="7" t="s">
        <v>3043</v>
      </c>
      <c r="J5" s="7" t="s">
        <v>3044</v>
      </c>
      <c r="K5" s="7" t="s">
        <v>1098</v>
      </c>
      <c r="L5" s="11" t="str">
        <f>HYPERLINK("http://images.bloomingdales.com/is/image/BLM/9339204 ")</f>
        <v xml:space="preserve">http://images.bloomingdales.com/is/image/BLM/9339204 </v>
      </c>
    </row>
    <row r="6" spans="1:12" ht="39.950000000000003" customHeight="1" x14ac:dyDescent="0.25">
      <c r="A6" s="6" t="s">
        <v>1104</v>
      </c>
      <c r="B6" s="7" t="s">
        <v>1105</v>
      </c>
      <c r="C6" s="8">
        <v>1</v>
      </c>
      <c r="D6" s="9">
        <v>425</v>
      </c>
      <c r="E6" s="8" t="s">
        <v>1106</v>
      </c>
      <c r="F6" s="7" t="s">
        <v>3445</v>
      </c>
      <c r="G6" s="10"/>
      <c r="H6" s="7" t="s">
        <v>3525</v>
      </c>
      <c r="I6" s="7" t="s">
        <v>3996</v>
      </c>
      <c r="J6" s="7" t="s">
        <v>3564</v>
      </c>
      <c r="K6" s="7"/>
      <c r="L6" s="11" t="str">
        <f>HYPERLINK("http://images.bloomingdales.com/is/image/BLM/10265454 ")</f>
        <v xml:space="preserve">http://images.bloomingdales.com/is/image/BLM/10265454 </v>
      </c>
    </row>
    <row r="7" spans="1:12" ht="39.950000000000003" customHeight="1" x14ac:dyDescent="0.25">
      <c r="A7" s="6" t="s">
        <v>1107</v>
      </c>
      <c r="B7" s="7" t="s">
        <v>1108</v>
      </c>
      <c r="C7" s="8">
        <v>1</v>
      </c>
      <c r="D7" s="9">
        <v>78.11</v>
      </c>
      <c r="E7" s="8" t="s">
        <v>1109</v>
      </c>
      <c r="F7" s="7"/>
      <c r="G7" s="10"/>
      <c r="H7" s="7" t="s">
        <v>3478</v>
      </c>
      <c r="I7" s="7" t="s">
        <v>3553</v>
      </c>
      <c r="J7" s="7" t="s">
        <v>3426</v>
      </c>
      <c r="K7" s="7" t="s">
        <v>1110</v>
      </c>
      <c r="L7" s="11" t="str">
        <f>HYPERLINK("http://slimages.macys.com/is/image/MCY/12493231 ")</f>
        <v xml:space="preserve">http://slimages.macys.com/is/image/MCY/12493231 </v>
      </c>
    </row>
    <row r="8" spans="1:12" ht="39.950000000000003" customHeight="1" x14ac:dyDescent="0.25">
      <c r="A8" s="6" t="s">
        <v>1111</v>
      </c>
      <c r="B8" s="7" t="s">
        <v>1112</v>
      </c>
      <c r="C8" s="8">
        <v>1</v>
      </c>
      <c r="D8" s="9">
        <v>169.99</v>
      </c>
      <c r="E8" s="8" t="s">
        <v>1113</v>
      </c>
      <c r="F8" s="7" t="s">
        <v>3445</v>
      </c>
      <c r="G8" s="10"/>
      <c r="H8" s="7" t="s">
        <v>3525</v>
      </c>
      <c r="I8" s="7" t="s">
        <v>3704</v>
      </c>
      <c r="J8" s="7" t="s">
        <v>3426</v>
      </c>
      <c r="K8" s="7" t="s">
        <v>3705</v>
      </c>
      <c r="L8" s="11" t="str">
        <f>HYPERLINK("http://slimages.macys.com/is/image/MCY/3962581 ")</f>
        <v xml:space="preserve">http://slimages.macys.com/is/image/MCY/3962581 </v>
      </c>
    </row>
    <row r="9" spans="1:12" ht="39.950000000000003" customHeight="1" x14ac:dyDescent="0.25">
      <c r="A9" s="6" t="s">
        <v>1114</v>
      </c>
      <c r="B9" s="7" t="s">
        <v>1115</v>
      </c>
      <c r="C9" s="8">
        <v>1</v>
      </c>
      <c r="D9" s="9">
        <v>134.99</v>
      </c>
      <c r="E9" s="8" t="s">
        <v>1116</v>
      </c>
      <c r="F9" s="7" t="s">
        <v>3445</v>
      </c>
      <c r="G9" s="10" t="s">
        <v>3611</v>
      </c>
      <c r="H9" s="7" t="s">
        <v>3559</v>
      </c>
      <c r="I9" s="7" t="s">
        <v>3871</v>
      </c>
      <c r="J9" s="7" t="s">
        <v>3426</v>
      </c>
      <c r="K9" s="7" t="s">
        <v>3492</v>
      </c>
      <c r="L9" s="11" t="str">
        <f>HYPERLINK("http://slimages.macys.com/is/image/MCY/11100322 ")</f>
        <v xml:space="preserve">http://slimages.macys.com/is/image/MCY/11100322 </v>
      </c>
    </row>
    <row r="10" spans="1:12" ht="39.950000000000003" customHeight="1" x14ac:dyDescent="0.25">
      <c r="A10" s="6" t="s">
        <v>1117</v>
      </c>
      <c r="B10" s="7" t="s">
        <v>1118</v>
      </c>
      <c r="C10" s="8">
        <v>1</v>
      </c>
      <c r="D10" s="9">
        <v>129.99</v>
      </c>
      <c r="E10" s="8" t="s">
        <v>1119</v>
      </c>
      <c r="F10" s="7" t="s">
        <v>3438</v>
      </c>
      <c r="G10" s="10" t="s">
        <v>3893</v>
      </c>
      <c r="H10" s="7" t="s">
        <v>3688</v>
      </c>
      <c r="I10" s="7" t="s">
        <v>3871</v>
      </c>
      <c r="J10" s="7" t="s">
        <v>3426</v>
      </c>
      <c r="K10" s="7"/>
      <c r="L10" s="11" t="str">
        <f>HYPERLINK("http://slimages.macys.com/is/image/MCY/8437861 ")</f>
        <v xml:space="preserve">http://slimages.macys.com/is/image/MCY/8437861 </v>
      </c>
    </row>
    <row r="11" spans="1:12" ht="39.950000000000003" customHeight="1" x14ac:dyDescent="0.25">
      <c r="A11" s="6" t="s">
        <v>1120</v>
      </c>
      <c r="B11" s="7" t="s">
        <v>1121</v>
      </c>
      <c r="C11" s="8">
        <v>1</v>
      </c>
      <c r="D11" s="9">
        <v>117.99</v>
      </c>
      <c r="E11" s="8" t="s">
        <v>1122</v>
      </c>
      <c r="F11" s="7" t="s">
        <v>3445</v>
      </c>
      <c r="G11" s="10"/>
      <c r="H11" s="7" t="s">
        <v>2471</v>
      </c>
      <c r="I11" s="7" t="s">
        <v>3553</v>
      </c>
      <c r="J11" s="7" t="s">
        <v>3426</v>
      </c>
      <c r="K11" s="7" t="s">
        <v>1123</v>
      </c>
      <c r="L11" s="11" t="str">
        <f>HYPERLINK("http://slimages.macys.com/is/image/MCY/9950611 ")</f>
        <v xml:space="preserve">http://slimages.macys.com/is/image/MCY/9950611 </v>
      </c>
    </row>
    <row r="12" spans="1:12" ht="39.950000000000003" customHeight="1" x14ac:dyDescent="0.25">
      <c r="A12" s="6" t="s">
        <v>1124</v>
      </c>
      <c r="B12" s="7" t="s">
        <v>1125</v>
      </c>
      <c r="C12" s="8">
        <v>2</v>
      </c>
      <c r="D12" s="9">
        <v>143.97999999999999</v>
      </c>
      <c r="E12" s="8" t="s">
        <v>1126</v>
      </c>
      <c r="F12" s="7" t="s">
        <v>3535</v>
      </c>
      <c r="G12" s="10"/>
      <c r="H12" s="7" t="s">
        <v>3490</v>
      </c>
      <c r="I12" s="7" t="s">
        <v>1127</v>
      </c>
      <c r="J12" s="7" t="s">
        <v>3426</v>
      </c>
      <c r="K12" s="7" t="s">
        <v>3518</v>
      </c>
      <c r="L12" s="11" t="str">
        <f>HYPERLINK("http://slimages.macys.com/is/image/MCY/13754136 ")</f>
        <v xml:space="preserve">http://slimages.macys.com/is/image/MCY/13754136 </v>
      </c>
    </row>
    <row r="13" spans="1:12" ht="39.950000000000003" customHeight="1" x14ac:dyDescent="0.25">
      <c r="A13" s="6" t="s">
        <v>2644</v>
      </c>
      <c r="B13" s="7" t="s">
        <v>2645</v>
      </c>
      <c r="C13" s="8">
        <v>1</v>
      </c>
      <c r="D13" s="9">
        <v>99.99</v>
      </c>
      <c r="E13" s="8" t="s">
        <v>2646</v>
      </c>
      <c r="F13" s="7" t="s">
        <v>3610</v>
      </c>
      <c r="G13" s="10" t="s">
        <v>3773</v>
      </c>
      <c r="H13" s="7" t="s">
        <v>3525</v>
      </c>
      <c r="I13" s="7" t="s">
        <v>3704</v>
      </c>
      <c r="J13" s="7" t="s">
        <v>3426</v>
      </c>
      <c r="K13" s="7" t="s">
        <v>2647</v>
      </c>
      <c r="L13" s="11" t="str">
        <f>HYPERLINK("http://slimages.macys.com/is/image/MCY/1067172 ")</f>
        <v xml:space="preserve">http://slimages.macys.com/is/image/MCY/1067172 </v>
      </c>
    </row>
    <row r="14" spans="1:12" ht="39.950000000000003" customHeight="1" x14ac:dyDescent="0.25">
      <c r="A14" s="6" t="s">
        <v>1128</v>
      </c>
      <c r="B14" s="7" t="s">
        <v>1129</v>
      </c>
      <c r="C14" s="8">
        <v>1</v>
      </c>
      <c r="D14" s="9">
        <v>99.99</v>
      </c>
      <c r="E14" s="8" t="s">
        <v>1130</v>
      </c>
      <c r="F14" s="7" t="s">
        <v>4058</v>
      </c>
      <c r="G14" s="10"/>
      <c r="H14" s="7" t="s">
        <v>3542</v>
      </c>
      <c r="I14" s="7" t="s">
        <v>4060</v>
      </c>
      <c r="J14" s="7" t="s">
        <v>3426</v>
      </c>
      <c r="K14" s="7" t="s">
        <v>1131</v>
      </c>
      <c r="L14" s="11" t="str">
        <f>HYPERLINK("http://slimages.macys.com/is/image/MCY/10678115 ")</f>
        <v xml:space="preserve">http://slimages.macys.com/is/image/MCY/10678115 </v>
      </c>
    </row>
    <row r="15" spans="1:12" ht="39.950000000000003" customHeight="1" x14ac:dyDescent="0.25">
      <c r="A15" s="6" t="s">
        <v>1132</v>
      </c>
      <c r="B15" s="7" t="s">
        <v>1133</v>
      </c>
      <c r="C15" s="8">
        <v>1</v>
      </c>
      <c r="D15" s="9">
        <v>75</v>
      </c>
      <c r="E15" s="8" t="s">
        <v>1134</v>
      </c>
      <c r="F15" s="7" t="s">
        <v>3445</v>
      </c>
      <c r="G15" s="10" t="s">
        <v>3653</v>
      </c>
      <c r="H15" s="7" t="s">
        <v>3635</v>
      </c>
      <c r="I15" s="7" t="s">
        <v>1135</v>
      </c>
      <c r="J15" s="7" t="s">
        <v>4367</v>
      </c>
      <c r="K15" s="7" t="s">
        <v>3492</v>
      </c>
      <c r="L15" s="11" t="str">
        <f>HYPERLINK("http://images.bloomingdales.com/is/image/BLM/8900927 ")</f>
        <v xml:space="preserve">http://images.bloomingdales.com/is/image/BLM/8900927 </v>
      </c>
    </row>
    <row r="16" spans="1:12" ht="39.950000000000003" customHeight="1" x14ac:dyDescent="0.25">
      <c r="A16" s="6" t="s">
        <v>1136</v>
      </c>
      <c r="B16" s="7" t="s">
        <v>1137</v>
      </c>
      <c r="C16" s="8">
        <v>1</v>
      </c>
      <c r="D16" s="9">
        <v>105</v>
      </c>
      <c r="E16" s="8" t="s">
        <v>1138</v>
      </c>
      <c r="F16" s="7" t="s">
        <v>3445</v>
      </c>
      <c r="G16" s="10" t="s">
        <v>3839</v>
      </c>
      <c r="H16" s="7" t="s">
        <v>3635</v>
      </c>
      <c r="I16" s="7" t="s">
        <v>4326</v>
      </c>
      <c r="J16" s="7" t="s">
        <v>4367</v>
      </c>
      <c r="K16" s="7" t="s">
        <v>3556</v>
      </c>
      <c r="L16" s="11" t="str">
        <f>HYPERLINK("http://images.bloomingdales.com/is/image/BLM/10230973 ")</f>
        <v xml:space="preserve">http://images.bloomingdales.com/is/image/BLM/10230973 </v>
      </c>
    </row>
    <row r="17" spans="1:12" ht="39.950000000000003" customHeight="1" x14ac:dyDescent="0.25">
      <c r="A17" s="6" t="s">
        <v>1139</v>
      </c>
      <c r="B17" s="7" t="s">
        <v>1140</v>
      </c>
      <c r="C17" s="8">
        <v>1</v>
      </c>
      <c r="D17" s="9">
        <v>71.989999999999995</v>
      </c>
      <c r="E17" s="8" t="s">
        <v>1141</v>
      </c>
      <c r="F17" s="7" t="s">
        <v>3423</v>
      </c>
      <c r="G17" s="10"/>
      <c r="H17" s="7" t="s">
        <v>3432</v>
      </c>
      <c r="I17" s="7" t="s">
        <v>3918</v>
      </c>
      <c r="J17" s="7" t="s">
        <v>3426</v>
      </c>
      <c r="K17" s="7" t="s">
        <v>3492</v>
      </c>
      <c r="L17" s="11" t="str">
        <f>HYPERLINK("http://slimages.macys.com/is/image/MCY/14358895 ")</f>
        <v xml:space="preserve">http://slimages.macys.com/is/image/MCY/14358895 </v>
      </c>
    </row>
    <row r="18" spans="1:12" ht="39.950000000000003" customHeight="1" x14ac:dyDescent="0.25">
      <c r="A18" s="6" t="s">
        <v>1142</v>
      </c>
      <c r="B18" s="7" t="s">
        <v>1143</v>
      </c>
      <c r="C18" s="8">
        <v>1</v>
      </c>
      <c r="D18" s="9">
        <v>69.989999999999995</v>
      </c>
      <c r="E18" s="8" t="s">
        <v>1144</v>
      </c>
      <c r="F18" s="7" t="s">
        <v>3892</v>
      </c>
      <c r="G18" s="10"/>
      <c r="H18" s="7" t="s">
        <v>3688</v>
      </c>
      <c r="I18" s="7" t="s">
        <v>3871</v>
      </c>
      <c r="J18" s="7" t="s">
        <v>3426</v>
      </c>
      <c r="K18" s="7" t="s">
        <v>3811</v>
      </c>
      <c r="L18" s="11" t="str">
        <f>HYPERLINK("http://slimages.macys.com/is/image/MCY/12937183 ")</f>
        <v xml:space="preserve">http://slimages.macys.com/is/image/MCY/12937183 </v>
      </c>
    </row>
    <row r="19" spans="1:12" ht="39.950000000000003" customHeight="1" x14ac:dyDescent="0.25">
      <c r="A19" s="6" t="s">
        <v>1145</v>
      </c>
      <c r="B19" s="7" t="s">
        <v>1146</v>
      </c>
      <c r="C19" s="8">
        <v>1</v>
      </c>
      <c r="D19" s="9">
        <v>69.989999999999995</v>
      </c>
      <c r="E19" s="8" t="s">
        <v>1147</v>
      </c>
      <c r="F19" s="7" t="s">
        <v>4096</v>
      </c>
      <c r="G19" s="10"/>
      <c r="H19" s="7" t="s">
        <v>3688</v>
      </c>
      <c r="I19" s="7" t="s">
        <v>3871</v>
      </c>
      <c r="J19" s="7" t="s">
        <v>3426</v>
      </c>
      <c r="K19" s="7" t="s">
        <v>3518</v>
      </c>
      <c r="L19" s="11" t="str">
        <f>HYPERLINK("http://slimages.macys.com/is/image/MCY/3879770 ")</f>
        <v xml:space="preserve">http://slimages.macys.com/is/image/MCY/3879770 </v>
      </c>
    </row>
    <row r="20" spans="1:12" ht="39.950000000000003" customHeight="1" x14ac:dyDescent="0.25">
      <c r="A20" s="6" t="s">
        <v>1963</v>
      </c>
      <c r="B20" s="7" t="s">
        <v>1964</v>
      </c>
      <c r="C20" s="8">
        <v>1</v>
      </c>
      <c r="D20" s="9">
        <v>59.99</v>
      </c>
      <c r="E20" s="8" t="s">
        <v>1965</v>
      </c>
      <c r="F20" s="7" t="s">
        <v>3938</v>
      </c>
      <c r="G20" s="10"/>
      <c r="H20" s="7" t="s">
        <v>3542</v>
      </c>
      <c r="I20" s="7" t="s">
        <v>4234</v>
      </c>
      <c r="J20" s="7" t="s">
        <v>3426</v>
      </c>
      <c r="K20" s="7" t="s">
        <v>3447</v>
      </c>
      <c r="L20" s="11" t="str">
        <f>HYPERLINK("http://slimages.macys.com/is/image/MCY/13036438 ")</f>
        <v xml:space="preserve">http://slimages.macys.com/is/image/MCY/13036438 </v>
      </c>
    </row>
    <row r="21" spans="1:12" ht="39.950000000000003" customHeight="1" x14ac:dyDescent="0.25">
      <c r="A21" s="6" t="s">
        <v>1148</v>
      </c>
      <c r="B21" s="7" t="s">
        <v>1149</v>
      </c>
      <c r="C21" s="8">
        <v>1</v>
      </c>
      <c r="D21" s="9">
        <v>56.99</v>
      </c>
      <c r="E21" s="8">
        <v>20023</v>
      </c>
      <c r="F21" s="7" t="s">
        <v>3535</v>
      </c>
      <c r="G21" s="10"/>
      <c r="H21" s="7" t="s">
        <v>3542</v>
      </c>
      <c r="I21" s="7" t="s">
        <v>1150</v>
      </c>
      <c r="J21" s="7" t="s">
        <v>3426</v>
      </c>
      <c r="K21" s="7" t="s">
        <v>3811</v>
      </c>
      <c r="L21" s="11" t="str">
        <f>HYPERLINK("http://slimages.macys.com/is/image/MCY/14808912 ")</f>
        <v xml:space="preserve">http://slimages.macys.com/is/image/MCY/14808912 </v>
      </c>
    </row>
    <row r="22" spans="1:12" ht="39.950000000000003" customHeight="1" x14ac:dyDescent="0.25">
      <c r="A22" s="6" t="s">
        <v>1151</v>
      </c>
      <c r="B22" s="7" t="s">
        <v>1152</v>
      </c>
      <c r="C22" s="8">
        <v>1</v>
      </c>
      <c r="D22" s="9">
        <v>89.99</v>
      </c>
      <c r="E22" s="8" t="s">
        <v>1153</v>
      </c>
      <c r="F22" s="7" t="s">
        <v>3438</v>
      </c>
      <c r="G22" s="10"/>
      <c r="H22" s="7" t="s">
        <v>3440</v>
      </c>
      <c r="I22" s="7" t="s">
        <v>3446</v>
      </c>
      <c r="J22" s="7" t="s">
        <v>3426</v>
      </c>
      <c r="K22" s="7"/>
      <c r="L22" s="11" t="str">
        <f>HYPERLINK("http://slimages.macys.com/is/image/MCY/12355152 ")</f>
        <v xml:space="preserve">http://slimages.macys.com/is/image/MCY/12355152 </v>
      </c>
    </row>
    <row r="23" spans="1:12" ht="39.950000000000003" customHeight="1" x14ac:dyDescent="0.25">
      <c r="A23" s="6" t="s">
        <v>1154</v>
      </c>
      <c r="B23" s="7" t="s">
        <v>1155</v>
      </c>
      <c r="C23" s="8">
        <v>1</v>
      </c>
      <c r="D23" s="9">
        <v>89.99</v>
      </c>
      <c r="E23" s="8" t="s">
        <v>1156</v>
      </c>
      <c r="F23" s="7" t="s">
        <v>3438</v>
      </c>
      <c r="G23" s="10"/>
      <c r="H23" s="7" t="s">
        <v>3440</v>
      </c>
      <c r="I23" s="7" t="s">
        <v>3683</v>
      </c>
      <c r="J23" s="7" t="s">
        <v>3426</v>
      </c>
      <c r="K23" s="7" t="s">
        <v>1157</v>
      </c>
      <c r="L23" s="11" t="str">
        <f>HYPERLINK("http://slimages.macys.com/is/image/MCY/8453087 ")</f>
        <v xml:space="preserve">http://slimages.macys.com/is/image/MCY/8453087 </v>
      </c>
    </row>
    <row r="24" spans="1:12" ht="39.950000000000003" customHeight="1" x14ac:dyDescent="0.25">
      <c r="A24" s="6" t="s">
        <v>1158</v>
      </c>
      <c r="B24" s="7" t="s">
        <v>1159</v>
      </c>
      <c r="C24" s="8">
        <v>1</v>
      </c>
      <c r="D24" s="9">
        <v>44.99</v>
      </c>
      <c r="E24" s="8">
        <v>54894</v>
      </c>
      <c r="F24" s="7" t="s">
        <v>3720</v>
      </c>
      <c r="G24" s="10"/>
      <c r="H24" s="7" t="s">
        <v>3490</v>
      </c>
      <c r="I24" s="7" t="s">
        <v>3649</v>
      </c>
      <c r="J24" s="7" t="s">
        <v>3426</v>
      </c>
      <c r="K24" s="7" t="s">
        <v>1160</v>
      </c>
      <c r="L24" s="11" t="str">
        <f>HYPERLINK("http://slimages.macys.com/is/image/MCY/11247726 ")</f>
        <v xml:space="preserve">http://slimages.macys.com/is/image/MCY/11247726 </v>
      </c>
    </row>
    <row r="25" spans="1:12" ht="39.950000000000003" customHeight="1" x14ac:dyDescent="0.25">
      <c r="A25" s="6" t="s">
        <v>1161</v>
      </c>
      <c r="B25" s="7" t="s">
        <v>1162</v>
      </c>
      <c r="C25" s="8">
        <v>1</v>
      </c>
      <c r="D25" s="9">
        <v>49.99</v>
      </c>
      <c r="E25" s="8" t="s">
        <v>1163</v>
      </c>
      <c r="F25" s="7" t="s">
        <v>3511</v>
      </c>
      <c r="G25" s="10" t="s">
        <v>3489</v>
      </c>
      <c r="H25" s="7" t="s">
        <v>3490</v>
      </c>
      <c r="I25" s="7" t="s">
        <v>3815</v>
      </c>
      <c r="J25" s="7" t="s">
        <v>3426</v>
      </c>
      <c r="K25" s="7" t="s">
        <v>1164</v>
      </c>
      <c r="L25" s="11" t="str">
        <f>HYPERLINK("http://slimages.macys.com/is/image/MCY/9545849 ")</f>
        <v xml:space="preserve">http://slimages.macys.com/is/image/MCY/9545849 </v>
      </c>
    </row>
    <row r="26" spans="1:12" ht="39.950000000000003" customHeight="1" x14ac:dyDescent="0.25">
      <c r="A26" s="6" t="s">
        <v>1165</v>
      </c>
      <c r="B26" s="7" t="s">
        <v>1166</v>
      </c>
      <c r="C26" s="8">
        <v>1</v>
      </c>
      <c r="D26" s="9">
        <v>50</v>
      </c>
      <c r="E26" s="8">
        <v>11112</v>
      </c>
      <c r="F26" s="7" t="s">
        <v>3445</v>
      </c>
      <c r="G26" s="10" t="s">
        <v>3489</v>
      </c>
      <c r="H26" s="7" t="s">
        <v>2991</v>
      </c>
      <c r="I26" s="7" t="s">
        <v>1167</v>
      </c>
      <c r="J26" s="7" t="s">
        <v>3426</v>
      </c>
      <c r="K26" s="7"/>
      <c r="L26" s="11" t="str">
        <f>HYPERLINK("http://images.bloomingdales.com/is/image/BLM/8140411 ")</f>
        <v xml:space="preserve">http://images.bloomingdales.com/is/image/BLM/8140411 </v>
      </c>
    </row>
    <row r="27" spans="1:12" ht="39.950000000000003" customHeight="1" x14ac:dyDescent="0.25">
      <c r="A27" s="6" t="s">
        <v>1168</v>
      </c>
      <c r="B27" s="7" t="s">
        <v>1169</v>
      </c>
      <c r="C27" s="8">
        <v>1</v>
      </c>
      <c r="D27" s="9">
        <v>62.5</v>
      </c>
      <c r="E27" s="8" t="s">
        <v>1170</v>
      </c>
      <c r="F27" s="7" t="s">
        <v>3445</v>
      </c>
      <c r="G27" s="10" t="s">
        <v>3653</v>
      </c>
      <c r="H27" s="7" t="s">
        <v>3635</v>
      </c>
      <c r="I27" s="7" t="s">
        <v>4326</v>
      </c>
      <c r="J27" s="7" t="s">
        <v>4367</v>
      </c>
      <c r="K27" s="7" t="s">
        <v>3556</v>
      </c>
      <c r="L27" s="11" t="str">
        <f>HYPERLINK("http://images.bloomingdales.com/is/image/BLM/10230973 ")</f>
        <v xml:space="preserve">http://images.bloomingdales.com/is/image/BLM/10230973 </v>
      </c>
    </row>
    <row r="28" spans="1:12" ht="39.950000000000003" customHeight="1" x14ac:dyDescent="0.25">
      <c r="A28" s="6" t="s">
        <v>3544</v>
      </c>
      <c r="B28" s="7" t="s">
        <v>3545</v>
      </c>
      <c r="C28" s="8">
        <v>2</v>
      </c>
      <c r="D28" s="9">
        <v>199.98</v>
      </c>
      <c r="E28" s="8" t="s">
        <v>3546</v>
      </c>
      <c r="F28" s="7" t="s">
        <v>3445</v>
      </c>
      <c r="G28" s="10" t="s">
        <v>3547</v>
      </c>
      <c r="H28" s="7" t="s">
        <v>3525</v>
      </c>
      <c r="I28" s="7" t="s">
        <v>3548</v>
      </c>
      <c r="J28" s="7" t="s">
        <v>3549</v>
      </c>
      <c r="K28" s="7"/>
      <c r="L28" s="11" t="str">
        <f>HYPERLINK("http://slimages.macys.com/is/image/MCY/12779303 ")</f>
        <v xml:space="preserve">http://slimages.macys.com/is/image/MCY/12779303 </v>
      </c>
    </row>
    <row r="29" spans="1:12" ht="39.950000000000003" customHeight="1" x14ac:dyDescent="0.25">
      <c r="A29" s="6" t="s">
        <v>1171</v>
      </c>
      <c r="B29" s="7" t="s">
        <v>1172</v>
      </c>
      <c r="C29" s="8">
        <v>1</v>
      </c>
      <c r="D29" s="9">
        <v>69.989999999999995</v>
      </c>
      <c r="E29" s="8" t="s">
        <v>1173</v>
      </c>
      <c r="F29" s="7" t="s">
        <v>3445</v>
      </c>
      <c r="G29" s="10"/>
      <c r="H29" s="7" t="s">
        <v>3440</v>
      </c>
      <c r="I29" s="7" t="s">
        <v>4036</v>
      </c>
      <c r="J29" s="7" t="s">
        <v>3426</v>
      </c>
      <c r="K29" s="7" t="s">
        <v>4415</v>
      </c>
      <c r="L29" s="11" t="str">
        <f>HYPERLINK("http://slimages.macys.com/is/image/MCY/9621143 ")</f>
        <v xml:space="preserve">http://slimages.macys.com/is/image/MCY/9621143 </v>
      </c>
    </row>
    <row r="30" spans="1:12" ht="39.950000000000003" customHeight="1" x14ac:dyDescent="0.25">
      <c r="A30" s="6" t="s">
        <v>1174</v>
      </c>
      <c r="B30" s="7" t="s">
        <v>1175</v>
      </c>
      <c r="C30" s="8">
        <v>1</v>
      </c>
      <c r="D30" s="9">
        <v>36.99</v>
      </c>
      <c r="E30" s="8" t="s">
        <v>1176</v>
      </c>
      <c r="F30" s="7" t="s">
        <v>4047</v>
      </c>
      <c r="G30" s="10"/>
      <c r="H30" s="7" t="s">
        <v>3490</v>
      </c>
      <c r="I30" s="7" t="s">
        <v>3553</v>
      </c>
      <c r="J30" s="7" t="s">
        <v>3426</v>
      </c>
      <c r="K30" s="7" t="s">
        <v>1177</v>
      </c>
      <c r="L30" s="11" t="str">
        <f>HYPERLINK("http://slimages.macys.com/is/image/MCY/9539706 ")</f>
        <v xml:space="preserve">http://slimages.macys.com/is/image/MCY/9539706 </v>
      </c>
    </row>
    <row r="31" spans="1:12" ht="39.950000000000003" customHeight="1" x14ac:dyDescent="0.25">
      <c r="A31" s="6" t="s">
        <v>1178</v>
      </c>
      <c r="B31" s="7" t="s">
        <v>1179</v>
      </c>
      <c r="C31" s="8">
        <v>2</v>
      </c>
      <c r="D31" s="9">
        <v>63.98</v>
      </c>
      <c r="E31" s="8">
        <v>57827</v>
      </c>
      <c r="F31" s="7" t="s">
        <v>3720</v>
      </c>
      <c r="G31" s="10"/>
      <c r="H31" s="7" t="s">
        <v>3490</v>
      </c>
      <c r="I31" s="7" t="s">
        <v>3649</v>
      </c>
      <c r="J31" s="7"/>
      <c r="K31" s="7"/>
      <c r="L31" s="11" t="str">
        <f>HYPERLINK("http://slimages.macys.com/is/image/MCY/17939279 ")</f>
        <v xml:space="preserve">http://slimages.macys.com/is/image/MCY/17939279 </v>
      </c>
    </row>
    <row r="32" spans="1:12" ht="39.950000000000003" customHeight="1" x14ac:dyDescent="0.25">
      <c r="A32" s="6" t="s">
        <v>1180</v>
      </c>
      <c r="B32" s="7" t="s">
        <v>1181</v>
      </c>
      <c r="C32" s="8">
        <v>1</v>
      </c>
      <c r="D32" s="9">
        <v>27.99</v>
      </c>
      <c r="E32" s="8" t="s">
        <v>1182</v>
      </c>
      <c r="F32" s="7" t="s">
        <v>3938</v>
      </c>
      <c r="G32" s="10"/>
      <c r="H32" s="7" t="s">
        <v>3583</v>
      </c>
      <c r="I32" s="7" t="s">
        <v>3262</v>
      </c>
      <c r="J32" s="7"/>
      <c r="K32" s="7"/>
      <c r="L32" s="11" t="str">
        <f>HYPERLINK("http://slimages.macys.com/is/image/MCY/16757718 ")</f>
        <v xml:space="preserve">http://slimages.macys.com/is/image/MCY/16757718 </v>
      </c>
    </row>
    <row r="33" spans="1:12" ht="39.950000000000003" customHeight="1" x14ac:dyDescent="0.25">
      <c r="A33" s="6" t="s">
        <v>1183</v>
      </c>
      <c r="B33" s="7" t="s">
        <v>1184</v>
      </c>
      <c r="C33" s="8">
        <v>1</v>
      </c>
      <c r="D33" s="9">
        <v>29.99</v>
      </c>
      <c r="E33" s="8">
        <v>82262</v>
      </c>
      <c r="F33" s="7" t="s">
        <v>4096</v>
      </c>
      <c r="G33" s="10"/>
      <c r="H33" s="7" t="s">
        <v>3478</v>
      </c>
      <c r="I33" s="7" t="s">
        <v>3479</v>
      </c>
      <c r="J33" s="7"/>
      <c r="K33" s="7"/>
      <c r="L33" s="11" t="str">
        <f>HYPERLINK("http://slimages.macys.com/is/image/MCY/17863046 ")</f>
        <v xml:space="preserve">http://slimages.macys.com/is/image/MCY/17863046 </v>
      </c>
    </row>
    <row r="34" spans="1:12" ht="39.950000000000003" customHeight="1" x14ac:dyDescent="0.25">
      <c r="A34" s="6" t="s">
        <v>1185</v>
      </c>
      <c r="B34" s="7" t="s">
        <v>1186</v>
      </c>
      <c r="C34" s="8">
        <v>1</v>
      </c>
      <c r="D34" s="9">
        <v>26.99</v>
      </c>
      <c r="E34" s="8" t="s">
        <v>1187</v>
      </c>
      <c r="F34" s="7"/>
      <c r="G34" s="10"/>
      <c r="H34" s="7" t="s">
        <v>3583</v>
      </c>
      <c r="I34" s="7" t="s">
        <v>1188</v>
      </c>
      <c r="J34" s="7" t="s">
        <v>3426</v>
      </c>
      <c r="K34" s="7" t="s">
        <v>3518</v>
      </c>
      <c r="L34" s="11" t="str">
        <f>HYPERLINK("http://slimages.macys.com/is/image/MCY/14400779 ")</f>
        <v xml:space="preserve">http://slimages.macys.com/is/image/MCY/14400779 </v>
      </c>
    </row>
    <row r="35" spans="1:12" ht="39.950000000000003" customHeight="1" x14ac:dyDescent="0.25">
      <c r="A35" s="6" t="s">
        <v>1189</v>
      </c>
      <c r="B35" s="7" t="s">
        <v>1190</v>
      </c>
      <c r="C35" s="8">
        <v>1</v>
      </c>
      <c r="D35" s="9">
        <v>79.989999999999995</v>
      </c>
      <c r="E35" s="8" t="s">
        <v>1191</v>
      </c>
      <c r="F35" s="7" t="s">
        <v>3438</v>
      </c>
      <c r="G35" s="10"/>
      <c r="H35" s="7" t="s">
        <v>3440</v>
      </c>
      <c r="I35" s="7" t="s">
        <v>3446</v>
      </c>
      <c r="J35" s="7" t="s">
        <v>3613</v>
      </c>
      <c r="K35" s="7" t="s">
        <v>1192</v>
      </c>
      <c r="L35" s="11" t="str">
        <f>HYPERLINK("http://slimages.macys.com/is/image/MCY/12354646 ")</f>
        <v xml:space="preserve">http://slimages.macys.com/is/image/MCY/12354646 </v>
      </c>
    </row>
    <row r="36" spans="1:12" ht="39.950000000000003" customHeight="1" x14ac:dyDescent="0.25">
      <c r="A36" s="6" t="s">
        <v>1193</v>
      </c>
      <c r="B36" s="7" t="s">
        <v>1194</v>
      </c>
      <c r="C36" s="8">
        <v>2</v>
      </c>
      <c r="D36" s="9">
        <v>179.98</v>
      </c>
      <c r="E36" s="8" t="s">
        <v>1195</v>
      </c>
      <c r="F36" s="7" t="s">
        <v>3438</v>
      </c>
      <c r="G36" s="10"/>
      <c r="H36" s="7" t="s">
        <v>3440</v>
      </c>
      <c r="I36" s="7" t="s">
        <v>3446</v>
      </c>
      <c r="J36" s="7"/>
      <c r="K36" s="7"/>
      <c r="L36" s="11" t="str">
        <f>HYPERLINK("http://slimages.macys.com/is/image/MCY/18173118 ")</f>
        <v xml:space="preserve">http://slimages.macys.com/is/image/MCY/18173118 </v>
      </c>
    </row>
    <row r="37" spans="1:12" ht="39.950000000000003" customHeight="1" x14ac:dyDescent="0.25">
      <c r="A37" s="6" t="s">
        <v>1196</v>
      </c>
      <c r="B37" s="7" t="s">
        <v>1197</v>
      </c>
      <c r="C37" s="8">
        <v>1</v>
      </c>
      <c r="D37" s="9">
        <v>24.99</v>
      </c>
      <c r="E37" s="8" t="s">
        <v>1198</v>
      </c>
      <c r="F37" s="7" t="s">
        <v>3423</v>
      </c>
      <c r="G37" s="10"/>
      <c r="H37" s="7" t="s">
        <v>3490</v>
      </c>
      <c r="I37" s="7" t="s">
        <v>2819</v>
      </c>
      <c r="J37" s="7" t="s">
        <v>3426</v>
      </c>
      <c r="K37" s="7"/>
      <c r="L37" s="11" t="str">
        <f>HYPERLINK("http://slimages.macys.com/is/image/MCY/8754625 ")</f>
        <v xml:space="preserve">http://slimages.macys.com/is/image/MCY/8754625 </v>
      </c>
    </row>
    <row r="38" spans="1:12" ht="39.950000000000003" customHeight="1" x14ac:dyDescent="0.25">
      <c r="A38" s="6" t="s">
        <v>1199</v>
      </c>
      <c r="B38" s="7" t="s">
        <v>1200</v>
      </c>
      <c r="C38" s="8">
        <v>1</v>
      </c>
      <c r="D38" s="9">
        <v>21.99</v>
      </c>
      <c r="E38" s="8">
        <v>56686</v>
      </c>
      <c r="F38" s="7" t="s">
        <v>3755</v>
      </c>
      <c r="G38" s="10" t="s">
        <v>4383</v>
      </c>
      <c r="H38" s="7" t="s">
        <v>3490</v>
      </c>
      <c r="I38" s="7" t="s">
        <v>3649</v>
      </c>
      <c r="J38" s="7" t="s">
        <v>3426</v>
      </c>
      <c r="K38" s="7" t="s">
        <v>3518</v>
      </c>
      <c r="L38" s="11" t="str">
        <f>HYPERLINK("http://slimages.macys.com/is/image/MCY/16061164 ")</f>
        <v xml:space="preserve">http://slimages.macys.com/is/image/MCY/16061164 </v>
      </c>
    </row>
    <row r="39" spans="1:12" ht="39.950000000000003" customHeight="1" x14ac:dyDescent="0.25">
      <c r="A39" s="6" t="s">
        <v>1201</v>
      </c>
      <c r="B39" s="7" t="s">
        <v>1202</v>
      </c>
      <c r="C39" s="8">
        <v>3</v>
      </c>
      <c r="D39" s="9">
        <v>68.97</v>
      </c>
      <c r="E39" s="8" t="s">
        <v>1203</v>
      </c>
      <c r="F39" s="7" t="s">
        <v>3431</v>
      </c>
      <c r="G39" s="10" t="s">
        <v>4156</v>
      </c>
      <c r="H39" s="7" t="s">
        <v>3490</v>
      </c>
      <c r="I39" s="7" t="s">
        <v>3553</v>
      </c>
      <c r="J39" s="7" t="s">
        <v>3426</v>
      </c>
      <c r="K39" s="7" t="s">
        <v>1740</v>
      </c>
      <c r="L39" s="11" t="str">
        <f>HYPERLINK("http://slimages.macys.com/is/image/MCY/9602397 ")</f>
        <v xml:space="preserve">http://slimages.macys.com/is/image/MCY/9602397 </v>
      </c>
    </row>
    <row r="40" spans="1:12" ht="39.950000000000003" customHeight="1" x14ac:dyDescent="0.25">
      <c r="A40" s="6" t="s">
        <v>1204</v>
      </c>
      <c r="B40" s="7" t="s">
        <v>1205</v>
      </c>
      <c r="C40" s="8">
        <v>1</v>
      </c>
      <c r="D40" s="9">
        <v>39.99</v>
      </c>
      <c r="E40" s="8" t="s">
        <v>1206</v>
      </c>
      <c r="F40" s="7" t="s">
        <v>3938</v>
      </c>
      <c r="G40" s="10"/>
      <c r="H40" s="7" t="s">
        <v>3572</v>
      </c>
      <c r="I40" s="7" t="s">
        <v>3724</v>
      </c>
      <c r="J40" s="7" t="s">
        <v>3426</v>
      </c>
      <c r="K40" s="7" t="s">
        <v>4251</v>
      </c>
      <c r="L40" s="11" t="str">
        <f>HYPERLINK("http://slimages.macys.com/is/image/MCY/14312283 ")</f>
        <v xml:space="preserve">http://slimages.macys.com/is/image/MCY/14312283 </v>
      </c>
    </row>
    <row r="41" spans="1:12" ht="39.950000000000003" customHeight="1" x14ac:dyDescent="0.25">
      <c r="A41" s="6" t="s">
        <v>1207</v>
      </c>
      <c r="B41" s="7" t="s">
        <v>1208</v>
      </c>
      <c r="C41" s="8">
        <v>2</v>
      </c>
      <c r="D41" s="9">
        <v>29.98</v>
      </c>
      <c r="E41" s="8" t="s">
        <v>1209</v>
      </c>
      <c r="F41" s="7" t="s">
        <v>3445</v>
      </c>
      <c r="G41" s="10" t="s">
        <v>3851</v>
      </c>
      <c r="H41" s="7" t="s">
        <v>3559</v>
      </c>
      <c r="I41" s="7" t="s">
        <v>3852</v>
      </c>
      <c r="J41" s="7"/>
      <c r="K41" s="7"/>
      <c r="L41" s="11" t="str">
        <f>HYPERLINK("http://slimages.macys.com/is/image/MCY/18410365 ")</f>
        <v xml:space="preserve">http://slimages.macys.com/is/image/MCY/18410365 </v>
      </c>
    </row>
    <row r="42" spans="1:12" ht="39.950000000000003" customHeight="1" x14ac:dyDescent="0.25">
      <c r="A42" s="6" t="s">
        <v>1210</v>
      </c>
      <c r="B42" s="7" t="s">
        <v>1211</v>
      </c>
      <c r="C42" s="8">
        <v>1</v>
      </c>
      <c r="D42" s="9">
        <v>19.989999999999998</v>
      </c>
      <c r="E42" s="8" t="s">
        <v>1212</v>
      </c>
      <c r="F42" s="7" t="s">
        <v>3530</v>
      </c>
      <c r="G42" s="10"/>
      <c r="H42" s="7" t="s">
        <v>3513</v>
      </c>
      <c r="I42" s="7" t="s">
        <v>2579</v>
      </c>
      <c r="J42" s="7" t="s">
        <v>3613</v>
      </c>
      <c r="K42" s="7" t="s">
        <v>3518</v>
      </c>
      <c r="L42" s="11" t="str">
        <f>HYPERLINK("http://slimages.macys.com/is/image/MCY/16143901 ")</f>
        <v xml:space="preserve">http://slimages.macys.com/is/image/MCY/16143901 </v>
      </c>
    </row>
    <row r="43" spans="1:12" ht="39.950000000000003" customHeight="1" x14ac:dyDescent="0.25">
      <c r="A43" s="6" t="s">
        <v>1213</v>
      </c>
      <c r="B43" s="7" t="s">
        <v>1214</v>
      </c>
      <c r="C43" s="8">
        <v>1</v>
      </c>
      <c r="D43" s="9">
        <v>14.99</v>
      </c>
      <c r="E43" s="8" t="s">
        <v>1215</v>
      </c>
      <c r="F43" s="7"/>
      <c r="G43" s="10"/>
      <c r="H43" s="7" t="s">
        <v>3583</v>
      </c>
      <c r="I43" s="7" t="s">
        <v>3662</v>
      </c>
      <c r="J43" s="7" t="s">
        <v>3613</v>
      </c>
      <c r="K43" s="7" t="s">
        <v>1216</v>
      </c>
      <c r="L43" s="11" t="str">
        <f>HYPERLINK("http://slimages.macys.com/is/image/MCY/9092081 ")</f>
        <v xml:space="preserve">http://slimages.macys.com/is/image/MCY/9092081 </v>
      </c>
    </row>
    <row r="44" spans="1:12" ht="39.950000000000003" customHeight="1" x14ac:dyDescent="0.25">
      <c r="A44" s="6" t="s">
        <v>3667</v>
      </c>
      <c r="B44" s="7" t="s">
        <v>3668</v>
      </c>
      <c r="C44" s="8">
        <v>7</v>
      </c>
      <c r="D44" s="9">
        <v>280</v>
      </c>
      <c r="E44" s="8"/>
      <c r="F44" s="7" t="s">
        <v>3610</v>
      </c>
      <c r="G44" s="10" t="s">
        <v>3489</v>
      </c>
      <c r="H44" s="7" t="s">
        <v>3669</v>
      </c>
      <c r="I44" s="7" t="s">
        <v>3670</v>
      </c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  <row r="57" spans="1:12" ht="39.950000000000003" customHeight="1" x14ac:dyDescent="0.25"/>
    <row r="58" spans="1:12" ht="39.950000000000003" customHeight="1" x14ac:dyDescent="0.25"/>
    <row r="59" spans="1:12" ht="39.950000000000003" customHeight="1" x14ac:dyDescent="0.25"/>
    <row r="60" spans="1:12" ht="39.950000000000003" customHeight="1" x14ac:dyDescent="0.25"/>
    <row r="61" spans="1:12" ht="39.950000000000003" customHeight="1" x14ac:dyDescent="0.25"/>
    <row r="62" spans="1:12" ht="39.950000000000003" customHeight="1" x14ac:dyDescent="0.25"/>
    <row r="63" spans="1:12" ht="39.950000000000003" customHeight="1" x14ac:dyDescent="0.25"/>
    <row r="64" spans="1:12" ht="39.950000000000003" customHeight="1" x14ac:dyDescent="0.25"/>
    <row r="65" ht="39.950000000000003" customHeight="1" x14ac:dyDescent="0.25"/>
  </sheetData>
  <phoneticPr fontId="0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1217</v>
      </c>
      <c r="B2" s="7" t="s">
        <v>1218</v>
      </c>
      <c r="C2" s="8">
        <v>1</v>
      </c>
      <c r="D2" s="9">
        <v>329.99</v>
      </c>
      <c r="E2" s="8" t="s">
        <v>1219</v>
      </c>
      <c r="F2" s="7" t="s">
        <v>3477</v>
      </c>
      <c r="G2" s="10"/>
      <c r="H2" s="7" t="s">
        <v>3688</v>
      </c>
      <c r="I2" s="7" t="s">
        <v>3871</v>
      </c>
      <c r="J2" s="7" t="s">
        <v>3426</v>
      </c>
      <c r="K2" s="7" t="s">
        <v>1220</v>
      </c>
      <c r="L2" s="11" t="str">
        <f>HYPERLINK("http://slimages.macys.com/is/image/MCY/1611451 ")</f>
        <v xml:space="preserve">http://slimages.macys.com/is/image/MCY/1611451 </v>
      </c>
    </row>
    <row r="3" spans="1:12" ht="39.950000000000003" customHeight="1" x14ac:dyDescent="0.25">
      <c r="A3" s="6" t="s">
        <v>1221</v>
      </c>
      <c r="B3" s="7" t="s">
        <v>1222</v>
      </c>
      <c r="C3" s="8">
        <v>1</v>
      </c>
      <c r="D3" s="9">
        <v>229.99</v>
      </c>
      <c r="E3" s="8" t="s">
        <v>1223</v>
      </c>
      <c r="F3" s="7" t="s">
        <v>3438</v>
      </c>
      <c r="G3" s="10"/>
      <c r="H3" s="7" t="s">
        <v>3440</v>
      </c>
      <c r="I3" s="7" t="s">
        <v>3446</v>
      </c>
      <c r="J3" s="7" t="s">
        <v>3426</v>
      </c>
      <c r="K3" s="7" t="s">
        <v>3556</v>
      </c>
      <c r="L3" s="11" t="str">
        <f>HYPERLINK("http://slimages.macys.com/is/image/MCY/14788488 ")</f>
        <v xml:space="preserve">http://slimages.macys.com/is/image/MCY/14788488 </v>
      </c>
    </row>
    <row r="4" spans="1:12" ht="39.950000000000003" customHeight="1" x14ac:dyDescent="0.25">
      <c r="A4" s="6" t="s">
        <v>1224</v>
      </c>
      <c r="B4" s="7" t="s">
        <v>1225</v>
      </c>
      <c r="C4" s="8">
        <v>1</v>
      </c>
      <c r="D4" s="9">
        <v>219.99</v>
      </c>
      <c r="E4" s="8" t="s">
        <v>1226</v>
      </c>
      <c r="F4" s="7" t="s">
        <v>3445</v>
      </c>
      <c r="G4" s="10" t="s">
        <v>3439</v>
      </c>
      <c r="H4" s="7" t="s">
        <v>3676</v>
      </c>
      <c r="I4" s="7" t="s">
        <v>3704</v>
      </c>
      <c r="J4" s="7" t="s">
        <v>3426</v>
      </c>
      <c r="K4" s="7"/>
      <c r="L4" s="11" t="str">
        <f>HYPERLINK("http://slimages.macys.com/is/image/MCY/2355760 ")</f>
        <v xml:space="preserve">http://slimages.macys.com/is/image/MCY/2355760 </v>
      </c>
    </row>
    <row r="5" spans="1:12" ht="39.950000000000003" customHeight="1" x14ac:dyDescent="0.25">
      <c r="A5" s="6" t="s">
        <v>1227</v>
      </c>
      <c r="B5" s="7" t="s">
        <v>1228</v>
      </c>
      <c r="C5" s="8">
        <v>2</v>
      </c>
      <c r="D5" s="9">
        <v>299.98</v>
      </c>
      <c r="E5" s="8">
        <v>221297</v>
      </c>
      <c r="F5" s="7" t="s">
        <v>3445</v>
      </c>
      <c r="G5" s="10"/>
      <c r="H5" s="7" t="s">
        <v>3688</v>
      </c>
      <c r="I5" s="7" t="s">
        <v>3689</v>
      </c>
      <c r="J5" s="7" t="s">
        <v>3426</v>
      </c>
      <c r="K5" s="7" t="s">
        <v>3492</v>
      </c>
      <c r="L5" s="11" t="str">
        <f>HYPERLINK("http://slimages.macys.com/is/image/MCY/10276309 ")</f>
        <v xml:space="preserve">http://slimages.macys.com/is/image/MCY/10276309 </v>
      </c>
    </row>
    <row r="6" spans="1:12" ht="39.950000000000003" customHeight="1" x14ac:dyDescent="0.25">
      <c r="A6" s="6" t="s">
        <v>1229</v>
      </c>
      <c r="B6" s="7" t="s">
        <v>1230</v>
      </c>
      <c r="C6" s="8">
        <v>1</v>
      </c>
      <c r="D6" s="9">
        <v>199.99</v>
      </c>
      <c r="E6" s="8" t="s">
        <v>1231</v>
      </c>
      <c r="F6" s="7" t="s">
        <v>3755</v>
      </c>
      <c r="G6" s="10"/>
      <c r="H6" s="7" t="s">
        <v>3440</v>
      </c>
      <c r="I6" s="7" t="s">
        <v>3683</v>
      </c>
      <c r="J6" s="7" t="s">
        <v>3426</v>
      </c>
      <c r="K6" s="7" t="s">
        <v>1232</v>
      </c>
      <c r="L6" s="11" t="str">
        <f>HYPERLINK("http://slimages.macys.com/is/image/MCY/12898898 ")</f>
        <v xml:space="preserve">http://slimages.macys.com/is/image/MCY/12898898 </v>
      </c>
    </row>
    <row r="7" spans="1:12" ht="39.950000000000003" customHeight="1" x14ac:dyDescent="0.25">
      <c r="A7" s="6" t="s">
        <v>1233</v>
      </c>
      <c r="B7" s="7" t="s">
        <v>1234</v>
      </c>
      <c r="C7" s="8">
        <v>1</v>
      </c>
      <c r="D7" s="9">
        <v>169.99</v>
      </c>
      <c r="E7" s="8" t="s">
        <v>1235</v>
      </c>
      <c r="F7" s="7" t="s">
        <v>3431</v>
      </c>
      <c r="G7" s="10"/>
      <c r="H7" s="7" t="s">
        <v>3695</v>
      </c>
      <c r="I7" s="7" t="s">
        <v>1236</v>
      </c>
      <c r="J7" s="7" t="s">
        <v>3426</v>
      </c>
      <c r="K7" s="7" t="s">
        <v>1237</v>
      </c>
      <c r="L7" s="11" t="str">
        <f>HYPERLINK("http://slimages.macys.com/is/image/MCY/11299625 ")</f>
        <v xml:space="preserve">http://slimages.macys.com/is/image/MCY/11299625 </v>
      </c>
    </row>
    <row r="8" spans="1:12" ht="39.950000000000003" customHeight="1" x14ac:dyDescent="0.25">
      <c r="A8" s="6" t="s">
        <v>1238</v>
      </c>
      <c r="B8" s="7" t="s">
        <v>1239</v>
      </c>
      <c r="C8" s="8">
        <v>1</v>
      </c>
      <c r="D8" s="9">
        <v>149.99</v>
      </c>
      <c r="E8" s="8">
        <v>79301</v>
      </c>
      <c r="F8" s="7" t="s">
        <v>3445</v>
      </c>
      <c r="G8" s="10"/>
      <c r="H8" s="7" t="s">
        <v>3478</v>
      </c>
      <c r="I8" s="7" t="s">
        <v>3479</v>
      </c>
      <c r="J8" s="7" t="s">
        <v>3426</v>
      </c>
      <c r="K8" s="7" t="s">
        <v>1240</v>
      </c>
      <c r="L8" s="11" t="str">
        <f>HYPERLINK("http://slimages.macys.com/is/image/MCY/9493664 ")</f>
        <v xml:space="preserve">http://slimages.macys.com/is/image/MCY/9493664 </v>
      </c>
    </row>
    <row r="9" spans="1:12" ht="39.950000000000003" customHeight="1" x14ac:dyDescent="0.25">
      <c r="A9" s="6" t="s">
        <v>2904</v>
      </c>
      <c r="B9" s="7" t="s">
        <v>2905</v>
      </c>
      <c r="C9" s="8">
        <v>1</v>
      </c>
      <c r="D9" s="9">
        <v>179.99</v>
      </c>
      <c r="E9" s="8">
        <v>82201</v>
      </c>
      <c r="F9" s="7" t="s">
        <v>3892</v>
      </c>
      <c r="G9" s="10"/>
      <c r="H9" s="7" t="s">
        <v>3478</v>
      </c>
      <c r="I9" s="7" t="s">
        <v>3479</v>
      </c>
      <c r="J9" s="7" t="s">
        <v>3426</v>
      </c>
      <c r="K9" s="7" t="s">
        <v>3888</v>
      </c>
      <c r="L9" s="11" t="str">
        <f>HYPERLINK("http://slimages.macys.com/is/image/MCY/16522333 ")</f>
        <v xml:space="preserve">http://slimages.macys.com/is/image/MCY/16522333 </v>
      </c>
    </row>
    <row r="10" spans="1:12" ht="39.950000000000003" customHeight="1" x14ac:dyDescent="0.25">
      <c r="A10" s="6" t="s">
        <v>957</v>
      </c>
      <c r="B10" s="7" t="s">
        <v>2077</v>
      </c>
      <c r="C10" s="8">
        <v>1</v>
      </c>
      <c r="D10" s="9">
        <v>149.99</v>
      </c>
      <c r="E10" s="8" t="s">
        <v>958</v>
      </c>
      <c r="F10" s="7" t="s">
        <v>3431</v>
      </c>
      <c r="G10" s="10"/>
      <c r="H10" s="7" t="s">
        <v>3424</v>
      </c>
      <c r="I10" s="7" t="s">
        <v>3508</v>
      </c>
      <c r="J10" s="7"/>
      <c r="K10" s="7"/>
      <c r="L10" s="11" t="str">
        <f>HYPERLINK("http://slimages.macys.com/is/image/MCY/18039189 ")</f>
        <v xml:space="preserve">http://slimages.macys.com/is/image/MCY/18039189 </v>
      </c>
    </row>
    <row r="11" spans="1:12" ht="39.950000000000003" customHeight="1" x14ac:dyDescent="0.25">
      <c r="A11" s="6" t="s">
        <v>1241</v>
      </c>
      <c r="B11" s="7" t="s">
        <v>1242</v>
      </c>
      <c r="C11" s="8">
        <v>1</v>
      </c>
      <c r="D11" s="9">
        <v>149.99</v>
      </c>
      <c r="E11" s="8" t="s">
        <v>1243</v>
      </c>
      <c r="F11" s="7" t="s">
        <v>3500</v>
      </c>
      <c r="G11" s="10"/>
      <c r="H11" s="7" t="s">
        <v>3452</v>
      </c>
      <c r="I11" s="7" t="s">
        <v>3453</v>
      </c>
      <c r="J11" s="7"/>
      <c r="K11" s="7"/>
      <c r="L11" s="11" t="str">
        <f>HYPERLINK("http://slimages.macys.com/is/image/MCY/17773249 ")</f>
        <v xml:space="preserve">http://slimages.macys.com/is/image/MCY/17773249 </v>
      </c>
    </row>
    <row r="12" spans="1:12" ht="39.950000000000003" customHeight="1" x14ac:dyDescent="0.25">
      <c r="A12" s="6" t="s">
        <v>1244</v>
      </c>
      <c r="B12" s="7" t="s">
        <v>1245</v>
      </c>
      <c r="C12" s="8">
        <v>1</v>
      </c>
      <c r="D12" s="9">
        <v>139.99</v>
      </c>
      <c r="E12" s="8" t="s">
        <v>1246</v>
      </c>
      <c r="F12" s="7" t="s">
        <v>3463</v>
      </c>
      <c r="G12" s="10"/>
      <c r="H12" s="7" t="s">
        <v>3432</v>
      </c>
      <c r="I12" s="7" t="s">
        <v>1247</v>
      </c>
      <c r="J12" s="7" t="s">
        <v>3426</v>
      </c>
      <c r="K12" s="7" t="s">
        <v>4300</v>
      </c>
      <c r="L12" s="11" t="str">
        <f>HYPERLINK("http://slimages.macys.com/is/image/MCY/12723516 ")</f>
        <v xml:space="preserve">http://slimages.macys.com/is/image/MCY/12723516 </v>
      </c>
    </row>
    <row r="13" spans="1:12" ht="39.950000000000003" customHeight="1" x14ac:dyDescent="0.25">
      <c r="A13" s="6" t="s">
        <v>1248</v>
      </c>
      <c r="B13" s="7" t="s">
        <v>1249</v>
      </c>
      <c r="C13" s="8">
        <v>1</v>
      </c>
      <c r="D13" s="9">
        <v>127.99</v>
      </c>
      <c r="E13" s="8" t="s">
        <v>1250</v>
      </c>
      <c r="F13" s="7" t="s">
        <v>3477</v>
      </c>
      <c r="G13" s="10"/>
      <c r="H13" s="7" t="s">
        <v>3478</v>
      </c>
      <c r="I13" s="7" t="s">
        <v>3553</v>
      </c>
      <c r="J13" s="7" t="s">
        <v>3426</v>
      </c>
      <c r="K13" s="7" t="s">
        <v>3592</v>
      </c>
      <c r="L13" s="11" t="str">
        <f>HYPERLINK("http://slimages.macys.com/is/image/MCY/9767711 ")</f>
        <v xml:space="preserve">http://slimages.macys.com/is/image/MCY/9767711 </v>
      </c>
    </row>
    <row r="14" spans="1:12" ht="39.950000000000003" customHeight="1" x14ac:dyDescent="0.25">
      <c r="A14" s="6" t="s">
        <v>1251</v>
      </c>
      <c r="B14" s="7" t="s">
        <v>1252</v>
      </c>
      <c r="C14" s="8">
        <v>1</v>
      </c>
      <c r="D14" s="9">
        <v>109.99</v>
      </c>
      <c r="E14" s="8" t="s">
        <v>1253</v>
      </c>
      <c r="F14" s="7"/>
      <c r="G14" s="10"/>
      <c r="H14" s="7" t="s">
        <v>3478</v>
      </c>
      <c r="I14" s="7" t="s">
        <v>2572</v>
      </c>
      <c r="J14" s="7"/>
      <c r="K14" s="7"/>
      <c r="L14" s="11" t="str">
        <f>HYPERLINK("http://slimages.macys.com/is/image/MCY/17145709 ")</f>
        <v xml:space="preserve">http://slimages.macys.com/is/image/MCY/17145709 </v>
      </c>
    </row>
    <row r="15" spans="1:12" ht="39.950000000000003" customHeight="1" x14ac:dyDescent="0.25">
      <c r="A15" s="6" t="s">
        <v>1254</v>
      </c>
      <c r="B15" s="7" t="s">
        <v>1255</v>
      </c>
      <c r="C15" s="8">
        <v>1</v>
      </c>
      <c r="D15" s="9">
        <v>105.99</v>
      </c>
      <c r="E15" s="8" t="s">
        <v>1256</v>
      </c>
      <c r="F15" s="7" t="s">
        <v>3716</v>
      </c>
      <c r="G15" s="10"/>
      <c r="H15" s="7" t="s">
        <v>3478</v>
      </c>
      <c r="I15" s="7" t="s">
        <v>3553</v>
      </c>
      <c r="J15" s="7" t="s">
        <v>3426</v>
      </c>
      <c r="K15" s="7" t="s">
        <v>3592</v>
      </c>
      <c r="L15" s="11" t="str">
        <f>HYPERLINK("http://slimages.macys.com/is/image/MCY/9767711 ")</f>
        <v xml:space="preserve">http://slimages.macys.com/is/image/MCY/9767711 </v>
      </c>
    </row>
    <row r="16" spans="1:12" ht="39.950000000000003" customHeight="1" x14ac:dyDescent="0.25">
      <c r="A16" s="6" t="s">
        <v>1257</v>
      </c>
      <c r="B16" s="7" t="s">
        <v>1258</v>
      </c>
      <c r="C16" s="8">
        <v>1</v>
      </c>
      <c r="D16" s="9">
        <v>78.11</v>
      </c>
      <c r="E16" s="8" t="s">
        <v>1259</v>
      </c>
      <c r="F16" s="7"/>
      <c r="G16" s="10"/>
      <c r="H16" s="7" t="s">
        <v>3542</v>
      </c>
      <c r="I16" s="7" t="s">
        <v>3764</v>
      </c>
      <c r="J16" s="7" t="s">
        <v>3426</v>
      </c>
      <c r="K16" s="7" t="s">
        <v>3765</v>
      </c>
      <c r="L16" s="11" t="str">
        <f>HYPERLINK("http://slimages.macys.com/is/image/MCY/12900844 ")</f>
        <v xml:space="preserve">http://slimages.macys.com/is/image/MCY/12900844 </v>
      </c>
    </row>
    <row r="17" spans="1:12" ht="39.950000000000003" customHeight="1" x14ac:dyDescent="0.25">
      <c r="A17" s="6" t="s">
        <v>1260</v>
      </c>
      <c r="B17" s="7" t="s">
        <v>1261</v>
      </c>
      <c r="C17" s="8">
        <v>1</v>
      </c>
      <c r="D17" s="9">
        <v>110.99</v>
      </c>
      <c r="E17" s="8" t="s">
        <v>1262</v>
      </c>
      <c r="F17" s="7" t="s">
        <v>3463</v>
      </c>
      <c r="G17" s="10"/>
      <c r="H17" s="7" t="s">
        <v>3478</v>
      </c>
      <c r="I17" s="7" t="s">
        <v>3553</v>
      </c>
      <c r="J17" s="7" t="s">
        <v>3426</v>
      </c>
      <c r="K17" s="7" t="s">
        <v>1263</v>
      </c>
      <c r="L17" s="11" t="str">
        <f>HYPERLINK("http://slimages.macys.com/is/image/MCY/9918931 ")</f>
        <v xml:space="preserve">http://slimages.macys.com/is/image/MCY/9918931 </v>
      </c>
    </row>
    <row r="18" spans="1:12" ht="39.950000000000003" customHeight="1" x14ac:dyDescent="0.25">
      <c r="A18" s="6" t="s">
        <v>1264</v>
      </c>
      <c r="B18" s="7" t="s">
        <v>1265</v>
      </c>
      <c r="C18" s="8">
        <v>1</v>
      </c>
      <c r="D18" s="9">
        <v>119.99</v>
      </c>
      <c r="E18" s="8" t="s">
        <v>1266</v>
      </c>
      <c r="F18" s="7" t="s">
        <v>3687</v>
      </c>
      <c r="G18" s="10"/>
      <c r="H18" s="7" t="s">
        <v>3572</v>
      </c>
      <c r="I18" s="7" t="s">
        <v>2478</v>
      </c>
      <c r="J18" s="7"/>
      <c r="K18" s="7"/>
      <c r="L18" s="11" t="str">
        <f>HYPERLINK("http://slimages.macys.com/is/image/MCY/17662359 ")</f>
        <v xml:space="preserve">http://slimages.macys.com/is/image/MCY/17662359 </v>
      </c>
    </row>
    <row r="19" spans="1:12" ht="39.950000000000003" customHeight="1" x14ac:dyDescent="0.25">
      <c r="A19" s="6" t="s">
        <v>1267</v>
      </c>
      <c r="B19" s="7" t="s">
        <v>1268</v>
      </c>
      <c r="C19" s="8">
        <v>1</v>
      </c>
      <c r="D19" s="9">
        <v>104.99</v>
      </c>
      <c r="E19" s="8" t="s">
        <v>1269</v>
      </c>
      <c r="F19" s="7" t="s">
        <v>3445</v>
      </c>
      <c r="G19" s="10" t="s">
        <v>3547</v>
      </c>
      <c r="H19" s="7" t="s">
        <v>3525</v>
      </c>
      <c r="I19" s="7" t="s">
        <v>3548</v>
      </c>
      <c r="J19" s="7" t="s">
        <v>3564</v>
      </c>
      <c r="K19" s="7" t="s">
        <v>3927</v>
      </c>
      <c r="L19" s="11" t="str">
        <f>HYPERLINK("http://slimages.macys.com/is/image/MCY/8589816 ")</f>
        <v xml:space="preserve">http://slimages.macys.com/is/image/MCY/8589816 </v>
      </c>
    </row>
    <row r="20" spans="1:12" ht="39.950000000000003" customHeight="1" x14ac:dyDescent="0.25">
      <c r="A20" s="6" t="s">
        <v>1270</v>
      </c>
      <c r="B20" s="7" t="s">
        <v>1271</v>
      </c>
      <c r="C20" s="8">
        <v>1</v>
      </c>
      <c r="D20" s="9">
        <v>87.99</v>
      </c>
      <c r="E20" s="8" t="s">
        <v>1272</v>
      </c>
      <c r="F20" s="7" t="s">
        <v>1988</v>
      </c>
      <c r="G20" s="10" t="s">
        <v>3489</v>
      </c>
      <c r="H20" s="7" t="s">
        <v>3490</v>
      </c>
      <c r="I20" s="7" t="s">
        <v>1273</v>
      </c>
      <c r="J20" s="7" t="s">
        <v>3426</v>
      </c>
      <c r="K20" s="7" t="s">
        <v>3811</v>
      </c>
      <c r="L20" s="11" t="str">
        <f>HYPERLINK("http://slimages.macys.com/is/image/MCY/16657142 ")</f>
        <v xml:space="preserve">http://slimages.macys.com/is/image/MCY/16657142 </v>
      </c>
    </row>
    <row r="21" spans="1:12" ht="39.950000000000003" customHeight="1" x14ac:dyDescent="0.25">
      <c r="A21" s="6" t="s">
        <v>1274</v>
      </c>
      <c r="B21" s="7" t="s">
        <v>1275</v>
      </c>
      <c r="C21" s="8">
        <v>1</v>
      </c>
      <c r="D21" s="9">
        <v>67.989999999999995</v>
      </c>
      <c r="E21" s="8" t="s">
        <v>1276</v>
      </c>
      <c r="F21" s="7"/>
      <c r="G21" s="10"/>
      <c r="H21" s="7" t="s">
        <v>3452</v>
      </c>
      <c r="I21" s="7" t="s">
        <v>3543</v>
      </c>
      <c r="J21" s="7" t="s">
        <v>3426</v>
      </c>
      <c r="K21" s="7"/>
      <c r="L21" s="11" t="str">
        <f>HYPERLINK("http://slimages.macys.com/is/image/MCY/11796122 ")</f>
        <v xml:space="preserve">http://slimages.macys.com/is/image/MCY/11796122 </v>
      </c>
    </row>
    <row r="22" spans="1:12" ht="39.950000000000003" customHeight="1" x14ac:dyDescent="0.25">
      <c r="A22" s="6" t="s">
        <v>1277</v>
      </c>
      <c r="B22" s="7" t="s">
        <v>1278</v>
      </c>
      <c r="C22" s="8">
        <v>1</v>
      </c>
      <c r="D22" s="9">
        <v>79.989999999999995</v>
      </c>
      <c r="E22" s="8" t="s">
        <v>1279</v>
      </c>
      <c r="F22" s="7"/>
      <c r="G22" s="10"/>
      <c r="H22" s="7" t="s">
        <v>3478</v>
      </c>
      <c r="I22" s="7" t="s">
        <v>3553</v>
      </c>
      <c r="J22" s="7" t="s">
        <v>3426</v>
      </c>
      <c r="K22" s="7" t="s">
        <v>3811</v>
      </c>
      <c r="L22" s="11" t="str">
        <f>HYPERLINK("http://slimages.macys.com/is/image/MCY/16661217 ")</f>
        <v xml:space="preserve">http://slimages.macys.com/is/image/MCY/16661217 </v>
      </c>
    </row>
    <row r="23" spans="1:12" ht="39.950000000000003" customHeight="1" x14ac:dyDescent="0.25">
      <c r="A23" s="6" t="s">
        <v>3924</v>
      </c>
      <c r="B23" s="7" t="s">
        <v>3925</v>
      </c>
      <c r="C23" s="8">
        <v>1</v>
      </c>
      <c r="D23" s="9">
        <v>64.989999999999995</v>
      </c>
      <c r="E23" s="8" t="s">
        <v>3926</v>
      </c>
      <c r="F23" s="7" t="s">
        <v>3445</v>
      </c>
      <c r="G23" s="10"/>
      <c r="H23" s="7" t="s">
        <v>3525</v>
      </c>
      <c r="I23" s="7" t="s">
        <v>3548</v>
      </c>
      <c r="J23" s="7" t="s">
        <v>3564</v>
      </c>
      <c r="K23" s="7" t="s">
        <v>3927</v>
      </c>
      <c r="L23" s="11" t="str">
        <f>HYPERLINK("http://slimages.macys.com/is/image/MCY/8589816 ")</f>
        <v xml:space="preserve">http://slimages.macys.com/is/image/MCY/8589816 </v>
      </c>
    </row>
    <row r="24" spans="1:12" ht="39.950000000000003" customHeight="1" x14ac:dyDescent="0.25">
      <c r="A24" s="6" t="s">
        <v>1280</v>
      </c>
      <c r="B24" s="7" t="s">
        <v>1281</v>
      </c>
      <c r="C24" s="8">
        <v>1</v>
      </c>
      <c r="D24" s="9">
        <v>99.99</v>
      </c>
      <c r="E24" s="8" t="s">
        <v>1282</v>
      </c>
      <c r="F24" s="7" t="s">
        <v>3445</v>
      </c>
      <c r="G24" s="10"/>
      <c r="H24" s="7" t="s">
        <v>3572</v>
      </c>
      <c r="I24" s="7" t="s">
        <v>3897</v>
      </c>
      <c r="J24" s="7"/>
      <c r="K24" s="7"/>
      <c r="L24" s="11" t="str">
        <f>HYPERLINK("http://slimages.macys.com/is/image/MCY/17912472 ")</f>
        <v xml:space="preserve">http://slimages.macys.com/is/image/MCY/17912472 </v>
      </c>
    </row>
    <row r="25" spans="1:12" ht="39.950000000000003" customHeight="1" x14ac:dyDescent="0.25">
      <c r="A25" s="6" t="s">
        <v>1283</v>
      </c>
      <c r="B25" s="7" t="s">
        <v>2508</v>
      </c>
      <c r="C25" s="8">
        <v>1</v>
      </c>
      <c r="D25" s="9">
        <v>49.99</v>
      </c>
      <c r="E25" s="8" t="s">
        <v>1284</v>
      </c>
      <c r="F25" s="7" t="s">
        <v>3511</v>
      </c>
      <c r="G25" s="10"/>
      <c r="H25" s="7" t="s">
        <v>3542</v>
      </c>
      <c r="I25" s="7" t="s">
        <v>4234</v>
      </c>
      <c r="J25" s="7"/>
      <c r="K25" s="7"/>
      <c r="L25" s="11" t="str">
        <f>HYPERLINK("http://slimages.macys.com/is/image/MCY/17968749 ")</f>
        <v xml:space="preserve">http://slimages.macys.com/is/image/MCY/17968749 </v>
      </c>
    </row>
    <row r="26" spans="1:12" ht="39.950000000000003" customHeight="1" x14ac:dyDescent="0.25">
      <c r="A26" s="6" t="s">
        <v>1285</v>
      </c>
      <c r="B26" s="7" t="s">
        <v>1286</v>
      </c>
      <c r="C26" s="8">
        <v>1</v>
      </c>
      <c r="D26" s="9">
        <v>49.99</v>
      </c>
      <c r="E26" s="8" t="s">
        <v>1287</v>
      </c>
      <c r="F26" s="7" t="s">
        <v>3477</v>
      </c>
      <c r="G26" s="10"/>
      <c r="H26" s="7" t="s">
        <v>3542</v>
      </c>
      <c r="I26" s="7" t="s">
        <v>4234</v>
      </c>
      <c r="J26" s="7"/>
      <c r="K26" s="7"/>
      <c r="L26" s="11" t="str">
        <f>HYPERLINK("http://slimages.macys.com/is/image/MCY/17968749 ")</f>
        <v xml:space="preserve">http://slimages.macys.com/is/image/MCY/17968749 </v>
      </c>
    </row>
    <row r="27" spans="1:12" ht="39.950000000000003" customHeight="1" x14ac:dyDescent="0.25">
      <c r="A27" s="6" t="s">
        <v>1288</v>
      </c>
      <c r="B27" s="7" t="s">
        <v>1289</v>
      </c>
      <c r="C27" s="8">
        <v>1</v>
      </c>
      <c r="D27" s="9">
        <v>39.99</v>
      </c>
      <c r="E27" s="8">
        <v>22216338</v>
      </c>
      <c r="F27" s="7" t="s">
        <v>3496</v>
      </c>
      <c r="G27" s="10"/>
      <c r="H27" s="7" t="s">
        <v>3542</v>
      </c>
      <c r="I27" s="7" t="s">
        <v>3517</v>
      </c>
      <c r="J27" s="7"/>
      <c r="K27" s="7"/>
      <c r="L27" s="11" t="str">
        <f>HYPERLINK("http://slimages.macys.com/is/image/MCY/17177962 ")</f>
        <v xml:space="preserve">http://slimages.macys.com/is/image/MCY/17177962 </v>
      </c>
    </row>
    <row r="28" spans="1:12" ht="39.950000000000003" customHeight="1" x14ac:dyDescent="0.25">
      <c r="A28" s="6" t="s">
        <v>1290</v>
      </c>
      <c r="B28" s="7" t="s">
        <v>1291</v>
      </c>
      <c r="C28" s="8">
        <v>1</v>
      </c>
      <c r="D28" s="9">
        <v>47.99</v>
      </c>
      <c r="E28" s="8">
        <v>35623</v>
      </c>
      <c r="F28" s="7" t="s">
        <v>3445</v>
      </c>
      <c r="G28" s="10" t="s">
        <v>3547</v>
      </c>
      <c r="H28" s="7" t="s">
        <v>3559</v>
      </c>
      <c r="I28" s="7" t="s">
        <v>3560</v>
      </c>
      <c r="J28" s="7"/>
      <c r="K28" s="7"/>
      <c r="L28" s="11" t="str">
        <f>HYPERLINK("http://slimages.macys.com/is/image/MCY/17452484 ")</f>
        <v xml:space="preserve">http://slimages.macys.com/is/image/MCY/17452484 </v>
      </c>
    </row>
    <row r="29" spans="1:12" ht="39.950000000000003" customHeight="1" x14ac:dyDescent="0.25">
      <c r="A29" s="6" t="s">
        <v>1292</v>
      </c>
      <c r="B29" s="7" t="s">
        <v>1293</v>
      </c>
      <c r="C29" s="8">
        <v>1</v>
      </c>
      <c r="D29" s="9">
        <v>49.99</v>
      </c>
      <c r="E29" s="8" t="s">
        <v>1294</v>
      </c>
      <c r="F29" s="7" t="s">
        <v>3511</v>
      </c>
      <c r="G29" s="10"/>
      <c r="H29" s="7" t="s">
        <v>3542</v>
      </c>
      <c r="I29" s="7" t="s">
        <v>4234</v>
      </c>
      <c r="J29" s="7"/>
      <c r="K29" s="7"/>
      <c r="L29" s="11" t="str">
        <f>HYPERLINK("http://slimages.macys.com/is/image/MCY/17968749 ")</f>
        <v xml:space="preserve">http://slimages.macys.com/is/image/MCY/17968749 </v>
      </c>
    </row>
    <row r="30" spans="1:12" ht="39.950000000000003" customHeight="1" x14ac:dyDescent="0.25">
      <c r="A30" s="6" t="s">
        <v>1295</v>
      </c>
      <c r="B30" s="7" t="s">
        <v>1296</v>
      </c>
      <c r="C30" s="8">
        <v>1</v>
      </c>
      <c r="D30" s="9">
        <v>49.99</v>
      </c>
      <c r="E30" s="8">
        <v>22364238</v>
      </c>
      <c r="F30" s="7" t="s">
        <v>3938</v>
      </c>
      <c r="G30" s="10"/>
      <c r="H30" s="7" t="s">
        <v>3542</v>
      </c>
      <c r="I30" s="7" t="s">
        <v>3517</v>
      </c>
      <c r="J30" s="7"/>
      <c r="K30" s="7"/>
      <c r="L30" s="11" t="str">
        <f>HYPERLINK("http://slimages.macys.com/is/image/MCY/17191784 ")</f>
        <v xml:space="preserve">http://slimages.macys.com/is/image/MCY/17191784 </v>
      </c>
    </row>
    <row r="31" spans="1:12" ht="39.950000000000003" customHeight="1" x14ac:dyDescent="0.25">
      <c r="A31" s="6" t="s">
        <v>1297</v>
      </c>
      <c r="B31" s="7" t="s">
        <v>1298</v>
      </c>
      <c r="C31" s="8">
        <v>1</v>
      </c>
      <c r="D31" s="9">
        <v>59.99</v>
      </c>
      <c r="E31" s="8" t="s">
        <v>1299</v>
      </c>
      <c r="F31" s="7" t="s">
        <v>3423</v>
      </c>
      <c r="G31" s="10"/>
      <c r="H31" s="7" t="s">
        <v>3432</v>
      </c>
      <c r="I31" s="7" t="s">
        <v>3622</v>
      </c>
      <c r="J31" s="7" t="s">
        <v>3426</v>
      </c>
      <c r="K31" s="7" t="s">
        <v>3518</v>
      </c>
      <c r="L31" s="11" t="str">
        <f>HYPERLINK("http://slimages.macys.com/is/image/MCY/17870451 ")</f>
        <v xml:space="preserve">http://slimages.macys.com/is/image/MCY/17870451 </v>
      </c>
    </row>
    <row r="32" spans="1:12" ht="39.950000000000003" customHeight="1" x14ac:dyDescent="0.25">
      <c r="A32" s="6" t="s">
        <v>1300</v>
      </c>
      <c r="B32" s="7" t="s">
        <v>1301</v>
      </c>
      <c r="C32" s="8">
        <v>1</v>
      </c>
      <c r="D32" s="9">
        <v>49.99</v>
      </c>
      <c r="E32" s="8" t="s">
        <v>1302</v>
      </c>
      <c r="F32" s="7" t="s">
        <v>3511</v>
      </c>
      <c r="G32" s="10"/>
      <c r="H32" s="7" t="s">
        <v>3542</v>
      </c>
      <c r="I32" s="7" t="s">
        <v>4234</v>
      </c>
      <c r="J32" s="7"/>
      <c r="K32" s="7"/>
      <c r="L32" s="11" t="str">
        <f>HYPERLINK("http://slimages.macys.com/is/image/MCY/17968749 ")</f>
        <v xml:space="preserve">http://slimages.macys.com/is/image/MCY/17968749 </v>
      </c>
    </row>
    <row r="33" spans="1:12" ht="39.950000000000003" customHeight="1" x14ac:dyDescent="0.25">
      <c r="A33" s="6" t="s">
        <v>1303</v>
      </c>
      <c r="B33" s="7" t="s">
        <v>1304</v>
      </c>
      <c r="C33" s="8">
        <v>1</v>
      </c>
      <c r="D33" s="9">
        <v>49.99</v>
      </c>
      <c r="E33" s="8">
        <v>2000000039</v>
      </c>
      <c r="F33" s="7" t="s">
        <v>3496</v>
      </c>
      <c r="G33" s="10"/>
      <c r="H33" s="7" t="s">
        <v>3478</v>
      </c>
      <c r="I33" s="7" t="s">
        <v>3517</v>
      </c>
      <c r="J33" s="7"/>
      <c r="K33" s="7"/>
      <c r="L33" s="11" t="str">
        <f>HYPERLINK("http://slimages.macys.com/is/image/MCY/17814601 ")</f>
        <v xml:space="preserve">http://slimages.macys.com/is/image/MCY/17814601 </v>
      </c>
    </row>
    <row r="34" spans="1:12" ht="39.950000000000003" customHeight="1" x14ac:dyDescent="0.25">
      <c r="A34" s="6" t="s">
        <v>1305</v>
      </c>
      <c r="B34" s="7" t="s">
        <v>1306</v>
      </c>
      <c r="C34" s="8">
        <v>5</v>
      </c>
      <c r="D34" s="9">
        <v>199.95</v>
      </c>
      <c r="E34" s="8" t="s">
        <v>1307</v>
      </c>
      <c r="F34" s="7" t="s">
        <v>3530</v>
      </c>
      <c r="G34" s="10"/>
      <c r="H34" s="7" t="s">
        <v>3568</v>
      </c>
      <c r="I34" s="7" t="s">
        <v>3569</v>
      </c>
      <c r="J34" s="7" t="s">
        <v>3426</v>
      </c>
      <c r="K34" s="7"/>
      <c r="L34" s="11" t="str">
        <f>HYPERLINK("http://slimages.macys.com/is/image/MCY/9408114 ")</f>
        <v xml:space="preserve">http://slimages.macys.com/is/image/MCY/9408114 </v>
      </c>
    </row>
    <row r="35" spans="1:12" ht="39.950000000000003" customHeight="1" x14ac:dyDescent="0.25">
      <c r="A35" s="6" t="s">
        <v>1308</v>
      </c>
      <c r="B35" s="7" t="s">
        <v>1309</v>
      </c>
      <c r="C35" s="8">
        <v>1</v>
      </c>
      <c r="D35" s="9">
        <v>29.99</v>
      </c>
      <c r="E35" s="8" t="s">
        <v>562</v>
      </c>
      <c r="F35" s="7" t="s">
        <v>3748</v>
      </c>
      <c r="G35" s="10"/>
      <c r="H35" s="7" t="s">
        <v>3452</v>
      </c>
      <c r="I35" s="7" t="s">
        <v>3834</v>
      </c>
      <c r="J35" s="7" t="s">
        <v>3426</v>
      </c>
      <c r="K35" s="7"/>
      <c r="L35" s="11" t="str">
        <f>HYPERLINK("http://slimages.macys.com/is/image/MCY/9940182 ")</f>
        <v xml:space="preserve">http://slimages.macys.com/is/image/MCY/9940182 </v>
      </c>
    </row>
    <row r="36" spans="1:12" ht="39.950000000000003" customHeight="1" x14ac:dyDescent="0.25">
      <c r="A36" s="6" t="s">
        <v>1310</v>
      </c>
      <c r="B36" s="7" t="s">
        <v>1311</v>
      </c>
      <c r="C36" s="8">
        <v>2</v>
      </c>
      <c r="D36" s="9">
        <v>59.98</v>
      </c>
      <c r="E36" s="8" t="s">
        <v>2822</v>
      </c>
      <c r="F36" s="7" t="s">
        <v>3530</v>
      </c>
      <c r="G36" s="10"/>
      <c r="H36" s="7" t="s">
        <v>3568</v>
      </c>
      <c r="I36" s="7" t="s">
        <v>3569</v>
      </c>
      <c r="J36" s="7" t="s">
        <v>3426</v>
      </c>
      <c r="K36" s="7" t="s">
        <v>3447</v>
      </c>
      <c r="L36" s="11" t="str">
        <f>HYPERLINK("http://slimages.macys.com/is/image/MCY/9408114 ")</f>
        <v xml:space="preserve">http://slimages.macys.com/is/image/MCY/9408114 </v>
      </c>
    </row>
    <row r="37" spans="1:12" ht="39.950000000000003" customHeight="1" x14ac:dyDescent="0.25">
      <c r="A37" s="6" t="s">
        <v>1312</v>
      </c>
      <c r="B37" s="7" t="s">
        <v>1313</v>
      </c>
      <c r="C37" s="8">
        <v>1</v>
      </c>
      <c r="D37" s="9">
        <v>30.99</v>
      </c>
      <c r="E37" s="8">
        <v>54908</v>
      </c>
      <c r="F37" s="7" t="s">
        <v>3720</v>
      </c>
      <c r="G37" s="10"/>
      <c r="H37" s="7" t="s">
        <v>3490</v>
      </c>
      <c r="I37" s="7" t="s">
        <v>3649</v>
      </c>
      <c r="J37" s="7" t="s">
        <v>3426</v>
      </c>
      <c r="K37" s="7" t="s">
        <v>1314</v>
      </c>
      <c r="L37" s="11" t="str">
        <f>HYPERLINK("http://slimages.macys.com/is/image/MCY/11247740 ")</f>
        <v xml:space="preserve">http://slimages.macys.com/is/image/MCY/11247740 </v>
      </c>
    </row>
    <row r="38" spans="1:12" ht="39.950000000000003" customHeight="1" x14ac:dyDescent="0.25">
      <c r="A38" s="6" t="s">
        <v>1315</v>
      </c>
      <c r="B38" s="7" t="s">
        <v>1316</v>
      </c>
      <c r="C38" s="8">
        <v>1</v>
      </c>
      <c r="D38" s="9">
        <v>28.99</v>
      </c>
      <c r="E38" s="8" t="s">
        <v>1317</v>
      </c>
      <c r="F38" s="7" t="s">
        <v>3445</v>
      </c>
      <c r="G38" s="10"/>
      <c r="H38" s="7" t="s">
        <v>3542</v>
      </c>
      <c r="I38" s="7" t="s">
        <v>2969</v>
      </c>
      <c r="J38" s="7" t="s">
        <v>3426</v>
      </c>
      <c r="K38" s="7" t="s">
        <v>4300</v>
      </c>
      <c r="L38" s="11" t="str">
        <f>HYPERLINK("http://slimages.macys.com/is/image/MCY/13837547 ")</f>
        <v xml:space="preserve">http://slimages.macys.com/is/image/MCY/13837547 </v>
      </c>
    </row>
    <row r="39" spans="1:12" ht="39.950000000000003" customHeight="1" x14ac:dyDescent="0.25">
      <c r="A39" s="6" t="s">
        <v>1318</v>
      </c>
      <c r="B39" s="7" t="s">
        <v>1319</v>
      </c>
      <c r="C39" s="8">
        <v>1</v>
      </c>
      <c r="D39" s="9">
        <v>29.99</v>
      </c>
      <c r="E39" s="8" t="s">
        <v>1320</v>
      </c>
      <c r="F39" s="7" t="s">
        <v>3804</v>
      </c>
      <c r="G39" s="10" t="s">
        <v>1321</v>
      </c>
      <c r="H39" s="7" t="s">
        <v>3478</v>
      </c>
      <c r="I39" s="7" t="s">
        <v>1322</v>
      </c>
      <c r="J39" s="7" t="s">
        <v>3426</v>
      </c>
      <c r="K39" s="7" t="s">
        <v>1323</v>
      </c>
      <c r="L39" s="11" t="str">
        <f>HYPERLINK("http://slimages.macys.com/is/image/MCY/13047637 ")</f>
        <v xml:space="preserve">http://slimages.macys.com/is/image/MCY/13047637 </v>
      </c>
    </row>
    <row r="40" spans="1:12" ht="39.950000000000003" customHeight="1" x14ac:dyDescent="0.25">
      <c r="A40" s="6" t="s">
        <v>1324</v>
      </c>
      <c r="B40" s="7" t="s">
        <v>1325</v>
      </c>
      <c r="C40" s="8">
        <v>1</v>
      </c>
      <c r="D40" s="9">
        <v>27.99</v>
      </c>
      <c r="E40" s="8" t="s">
        <v>1326</v>
      </c>
      <c r="F40" s="7" t="s">
        <v>3445</v>
      </c>
      <c r="G40" s="10"/>
      <c r="H40" s="7" t="s">
        <v>3583</v>
      </c>
      <c r="I40" s="7" t="s">
        <v>3734</v>
      </c>
      <c r="J40" s="7" t="s">
        <v>3426</v>
      </c>
      <c r="K40" s="7" t="s">
        <v>3492</v>
      </c>
      <c r="L40" s="11" t="str">
        <f>HYPERLINK("http://slimages.macys.com/is/image/MCY/10509779 ")</f>
        <v xml:space="preserve">http://slimages.macys.com/is/image/MCY/10509779 </v>
      </c>
    </row>
    <row r="41" spans="1:12" ht="39.950000000000003" customHeight="1" x14ac:dyDescent="0.25">
      <c r="A41" s="6" t="s">
        <v>1327</v>
      </c>
      <c r="B41" s="7" t="s">
        <v>1328</v>
      </c>
      <c r="C41" s="8">
        <v>1</v>
      </c>
      <c r="D41" s="9">
        <v>36.99</v>
      </c>
      <c r="E41" s="8" t="s">
        <v>1329</v>
      </c>
      <c r="F41" s="7" t="s">
        <v>3445</v>
      </c>
      <c r="G41" s="10"/>
      <c r="H41" s="7" t="s">
        <v>3490</v>
      </c>
      <c r="I41" s="7" t="s">
        <v>3392</v>
      </c>
      <c r="J41" s="7" t="s">
        <v>3426</v>
      </c>
      <c r="K41" s="7" t="s">
        <v>3393</v>
      </c>
      <c r="L41" s="11" t="str">
        <f>HYPERLINK("http://slimages.macys.com/is/image/MCY/15256600 ")</f>
        <v xml:space="preserve">http://slimages.macys.com/is/image/MCY/15256600 </v>
      </c>
    </row>
    <row r="42" spans="1:12" ht="39.950000000000003" customHeight="1" x14ac:dyDescent="0.25">
      <c r="A42" s="6" t="s">
        <v>1330</v>
      </c>
      <c r="B42" s="7" t="s">
        <v>1331</v>
      </c>
      <c r="C42" s="8">
        <v>1</v>
      </c>
      <c r="D42" s="9">
        <v>24.99</v>
      </c>
      <c r="E42" s="8">
        <v>52486</v>
      </c>
      <c r="F42" s="7" t="s">
        <v>3720</v>
      </c>
      <c r="G42" s="10"/>
      <c r="H42" s="7" t="s">
        <v>3490</v>
      </c>
      <c r="I42" s="7" t="s">
        <v>3649</v>
      </c>
      <c r="J42" s="7" t="s">
        <v>3426</v>
      </c>
      <c r="K42" s="7" t="s">
        <v>3518</v>
      </c>
      <c r="L42" s="11" t="str">
        <f>HYPERLINK("http://slimages.macys.com/is/image/MCY/9644106 ")</f>
        <v xml:space="preserve">http://slimages.macys.com/is/image/MCY/9644106 </v>
      </c>
    </row>
    <row r="43" spans="1:12" ht="39.950000000000003" customHeight="1" x14ac:dyDescent="0.25">
      <c r="A43" s="6" t="s">
        <v>1332</v>
      </c>
      <c r="B43" s="7" t="s">
        <v>1333</v>
      </c>
      <c r="C43" s="8">
        <v>1</v>
      </c>
      <c r="D43" s="9">
        <v>27.99</v>
      </c>
      <c r="E43" s="8" t="s">
        <v>1334</v>
      </c>
      <c r="F43" s="7" t="s">
        <v>3431</v>
      </c>
      <c r="G43" s="10"/>
      <c r="H43" s="7" t="s">
        <v>3490</v>
      </c>
      <c r="I43" s="7" t="s">
        <v>3553</v>
      </c>
      <c r="J43" s="7" t="s">
        <v>3426</v>
      </c>
      <c r="K43" s="7" t="s">
        <v>3518</v>
      </c>
      <c r="L43" s="11" t="str">
        <f>HYPERLINK("http://slimages.macys.com/is/image/MCY/16396397 ")</f>
        <v xml:space="preserve">http://slimages.macys.com/is/image/MCY/16396397 </v>
      </c>
    </row>
    <row r="44" spans="1:12" ht="39.950000000000003" customHeight="1" x14ac:dyDescent="0.25">
      <c r="A44" s="6" t="s">
        <v>1335</v>
      </c>
      <c r="B44" s="7" t="s">
        <v>1336</v>
      </c>
      <c r="C44" s="8">
        <v>1</v>
      </c>
      <c r="D44" s="9">
        <v>78.11</v>
      </c>
      <c r="E44" s="8" t="s">
        <v>1337</v>
      </c>
      <c r="F44" s="7"/>
      <c r="G44" s="10"/>
      <c r="H44" s="7" t="s">
        <v>3635</v>
      </c>
      <c r="I44" s="7" t="s">
        <v>3700</v>
      </c>
      <c r="J44" s="7" t="s">
        <v>3426</v>
      </c>
      <c r="K44" s="7"/>
      <c r="L44" s="11" t="str">
        <f>HYPERLINK("http://slimages.macys.com/is/image/MCY/12723638 ")</f>
        <v xml:space="preserve">http://slimages.macys.com/is/image/MCY/12723638 </v>
      </c>
    </row>
    <row r="45" spans="1:12" ht="39.950000000000003" customHeight="1" x14ac:dyDescent="0.25">
      <c r="A45" s="6" t="s">
        <v>1338</v>
      </c>
      <c r="B45" s="7" t="s">
        <v>1339</v>
      </c>
      <c r="C45" s="8">
        <v>1</v>
      </c>
      <c r="D45" s="9">
        <v>17.989999999999998</v>
      </c>
      <c r="E45" s="8" t="s">
        <v>1340</v>
      </c>
      <c r="F45" s="7" t="s">
        <v>4088</v>
      </c>
      <c r="G45" s="10"/>
      <c r="H45" s="7" t="s">
        <v>3635</v>
      </c>
      <c r="I45" s="7" t="s">
        <v>3700</v>
      </c>
      <c r="J45" s="7" t="s">
        <v>3426</v>
      </c>
      <c r="K45" s="7"/>
      <c r="L45" s="11" t="str">
        <f>HYPERLINK("http://slimages.macys.com/is/image/MCY/12723638 ")</f>
        <v xml:space="preserve">http://slimages.macys.com/is/image/MCY/12723638 </v>
      </c>
    </row>
    <row r="46" spans="1:12" ht="39.950000000000003" customHeight="1" x14ac:dyDescent="0.25">
      <c r="A46" s="6" t="s">
        <v>1341</v>
      </c>
      <c r="B46" s="7" t="s">
        <v>1342</v>
      </c>
      <c r="C46" s="8">
        <v>1</v>
      </c>
      <c r="D46" s="9">
        <v>20.99</v>
      </c>
      <c r="E46" s="8">
        <v>53490</v>
      </c>
      <c r="F46" s="7" t="s">
        <v>3674</v>
      </c>
      <c r="G46" s="10"/>
      <c r="H46" s="7" t="s">
        <v>3490</v>
      </c>
      <c r="I46" s="7" t="s">
        <v>3649</v>
      </c>
      <c r="J46" s="7" t="s">
        <v>3426</v>
      </c>
      <c r="K46" s="7" t="s">
        <v>3518</v>
      </c>
      <c r="L46" s="11" t="str">
        <f>HYPERLINK("http://slimages.macys.com/is/image/MCY/10009174 ")</f>
        <v xml:space="preserve">http://slimages.macys.com/is/image/MCY/10009174 </v>
      </c>
    </row>
    <row r="47" spans="1:12" ht="39.950000000000003" customHeight="1" x14ac:dyDescent="0.25">
      <c r="A47" s="6" t="s">
        <v>1343</v>
      </c>
      <c r="B47" s="7" t="s">
        <v>1344</v>
      </c>
      <c r="C47" s="8">
        <v>1</v>
      </c>
      <c r="D47" s="9">
        <v>15.99</v>
      </c>
      <c r="E47" s="8">
        <v>46825</v>
      </c>
      <c r="F47" s="7" t="s">
        <v>3511</v>
      </c>
      <c r="G47" s="10"/>
      <c r="H47" s="7" t="s">
        <v>3490</v>
      </c>
      <c r="I47" s="7" t="s">
        <v>3649</v>
      </c>
      <c r="J47" s="7" t="s">
        <v>3426</v>
      </c>
      <c r="K47" s="7" t="s">
        <v>3518</v>
      </c>
      <c r="L47" s="11" t="str">
        <f>HYPERLINK("http://slimages.macys.com/is/image/MCY/10009171 ")</f>
        <v xml:space="preserve">http://slimages.macys.com/is/image/MCY/10009171 </v>
      </c>
    </row>
    <row r="48" spans="1:12" ht="39.950000000000003" customHeight="1" x14ac:dyDescent="0.25">
      <c r="A48" s="6" t="s">
        <v>1345</v>
      </c>
      <c r="B48" s="7" t="s">
        <v>1346</v>
      </c>
      <c r="C48" s="8">
        <v>1</v>
      </c>
      <c r="D48" s="9">
        <v>16.989999999999998</v>
      </c>
      <c r="E48" s="8" t="s">
        <v>2716</v>
      </c>
      <c r="F48" s="7" t="s">
        <v>3674</v>
      </c>
      <c r="G48" s="10"/>
      <c r="H48" s="7" t="s">
        <v>3542</v>
      </c>
      <c r="I48" s="7" t="s">
        <v>3829</v>
      </c>
      <c r="J48" s="7" t="s">
        <v>3426</v>
      </c>
      <c r="K48" s="7" t="s">
        <v>3518</v>
      </c>
      <c r="L48" s="11" t="str">
        <f>HYPERLINK("http://slimages.macys.com/is/image/MCY/3162549 ")</f>
        <v xml:space="preserve">http://slimages.macys.com/is/image/MCY/3162549 </v>
      </c>
    </row>
    <row r="49" spans="1:12" ht="39.950000000000003" customHeight="1" x14ac:dyDescent="0.25">
      <c r="A49" s="6" t="s">
        <v>1347</v>
      </c>
      <c r="B49" s="7" t="s">
        <v>1348</v>
      </c>
      <c r="C49" s="8">
        <v>1</v>
      </c>
      <c r="D49" s="9">
        <v>16.989999999999998</v>
      </c>
      <c r="E49" s="8" t="s">
        <v>2716</v>
      </c>
      <c r="F49" s="7" t="s">
        <v>1349</v>
      </c>
      <c r="G49" s="10"/>
      <c r="H49" s="7" t="s">
        <v>3542</v>
      </c>
      <c r="I49" s="7" t="s">
        <v>3829</v>
      </c>
      <c r="J49" s="7" t="s">
        <v>3426</v>
      </c>
      <c r="K49" s="7" t="s">
        <v>3518</v>
      </c>
      <c r="L49" s="11" t="str">
        <f>HYPERLINK("http://slimages.macys.com/is/image/MCY/3162549 ")</f>
        <v xml:space="preserve">http://slimages.macys.com/is/image/MCY/3162549 </v>
      </c>
    </row>
    <row r="50" spans="1:12" ht="39.950000000000003" customHeight="1" x14ac:dyDescent="0.25">
      <c r="A50" s="6" t="s">
        <v>1350</v>
      </c>
      <c r="B50" s="7" t="s">
        <v>1351</v>
      </c>
      <c r="C50" s="8">
        <v>1</v>
      </c>
      <c r="D50" s="9">
        <v>39.99</v>
      </c>
      <c r="E50" s="8" t="s">
        <v>1352</v>
      </c>
      <c r="F50" s="7" t="s">
        <v>4096</v>
      </c>
      <c r="G50" s="10"/>
      <c r="H50" s="7" t="s">
        <v>3458</v>
      </c>
      <c r="I50" s="7" t="s">
        <v>3459</v>
      </c>
      <c r="J50" s="7" t="s">
        <v>3426</v>
      </c>
      <c r="K50" s="7" t="s">
        <v>3485</v>
      </c>
      <c r="L50" s="11" t="str">
        <f>HYPERLINK("http://slimages.macys.com/is/image/MCY/11607139 ")</f>
        <v xml:space="preserve">http://slimages.macys.com/is/image/MCY/11607139 </v>
      </c>
    </row>
    <row r="51" spans="1:12" ht="39.950000000000003" customHeight="1" x14ac:dyDescent="0.25">
      <c r="A51" s="6" t="s">
        <v>1353</v>
      </c>
      <c r="B51" s="7" t="s">
        <v>1354</v>
      </c>
      <c r="C51" s="8">
        <v>1</v>
      </c>
      <c r="D51" s="9">
        <v>13.99</v>
      </c>
      <c r="E51" s="8" t="s">
        <v>1355</v>
      </c>
      <c r="F51" s="7" t="s">
        <v>3445</v>
      </c>
      <c r="G51" s="10"/>
      <c r="H51" s="7" t="s">
        <v>3525</v>
      </c>
      <c r="I51" s="7" t="s">
        <v>3548</v>
      </c>
      <c r="J51" s="7"/>
      <c r="K51" s="7"/>
      <c r="L51" s="11" t="str">
        <f>HYPERLINK("http://slimages.macys.com/is/image/MCY/12384987 ")</f>
        <v xml:space="preserve">http://slimages.macys.com/is/image/MCY/12384987 </v>
      </c>
    </row>
    <row r="52" spans="1:12" ht="39.950000000000003" customHeight="1" x14ac:dyDescent="0.25">
      <c r="A52" s="6" t="s">
        <v>1356</v>
      </c>
      <c r="B52" s="7" t="s">
        <v>1357</v>
      </c>
      <c r="C52" s="8">
        <v>1</v>
      </c>
      <c r="D52" s="9">
        <v>9.99</v>
      </c>
      <c r="E52" s="8" t="s">
        <v>1358</v>
      </c>
      <c r="F52" s="7" t="s">
        <v>3431</v>
      </c>
      <c r="G52" s="10" t="s">
        <v>4360</v>
      </c>
      <c r="H52" s="7" t="s">
        <v>3654</v>
      </c>
      <c r="I52" s="7" t="s">
        <v>3655</v>
      </c>
      <c r="J52" s="7" t="s">
        <v>3426</v>
      </c>
      <c r="K52" s="7" t="s">
        <v>3492</v>
      </c>
      <c r="L52" s="11" t="str">
        <f>HYPERLINK("http://slimages.macys.com/is/image/MCY/13399802 ")</f>
        <v xml:space="preserve">http://slimages.macys.com/is/image/MCY/13399802 </v>
      </c>
    </row>
    <row r="53" spans="1:12" ht="39.950000000000003" customHeight="1" x14ac:dyDescent="0.25">
      <c r="A53" s="6" t="s">
        <v>1359</v>
      </c>
      <c r="B53" s="7" t="s">
        <v>1360</v>
      </c>
      <c r="C53" s="8">
        <v>1</v>
      </c>
      <c r="D53" s="9">
        <v>1.99</v>
      </c>
      <c r="E53" s="8" t="s">
        <v>1361</v>
      </c>
      <c r="F53" s="7" t="s">
        <v>4167</v>
      </c>
      <c r="G53" s="10" t="s">
        <v>4360</v>
      </c>
      <c r="H53" s="7" t="s">
        <v>3635</v>
      </c>
      <c r="I53" s="7" t="s">
        <v>3517</v>
      </c>
      <c r="J53" s="7" t="s">
        <v>3426</v>
      </c>
      <c r="K53" s="7"/>
      <c r="L53" s="11" t="str">
        <f>HYPERLINK("http://slimages.macys.com/is/image/MCY/13909776 ")</f>
        <v xml:space="preserve">http://slimages.macys.com/is/image/MCY/13909776 </v>
      </c>
    </row>
    <row r="54" spans="1:12" ht="39.950000000000003" customHeight="1" x14ac:dyDescent="0.25">
      <c r="A54" s="6" t="s">
        <v>3667</v>
      </c>
      <c r="B54" s="7" t="s">
        <v>3668</v>
      </c>
      <c r="C54" s="8">
        <v>3</v>
      </c>
      <c r="D54" s="9">
        <v>120</v>
      </c>
      <c r="E54" s="8"/>
      <c r="F54" s="7" t="s">
        <v>3610</v>
      </c>
      <c r="G54" s="10" t="s">
        <v>3489</v>
      </c>
      <c r="H54" s="7" t="s">
        <v>3669</v>
      </c>
      <c r="I54" s="7" t="s">
        <v>3670</v>
      </c>
      <c r="J54" s="7"/>
      <c r="K54" s="7"/>
      <c r="L54" s="11"/>
    </row>
    <row r="55" spans="1:12" ht="39.950000000000003" customHeight="1" x14ac:dyDescent="0.25">
      <c r="A55" s="6" t="s">
        <v>1362</v>
      </c>
      <c r="B55" s="7" t="s">
        <v>1363</v>
      </c>
      <c r="C55" s="8">
        <v>1</v>
      </c>
      <c r="D55" s="9">
        <v>39.99</v>
      </c>
      <c r="E55" s="8">
        <v>130147</v>
      </c>
      <c r="F55" s="7" t="s">
        <v>3892</v>
      </c>
      <c r="G55" s="10" t="s">
        <v>3439</v>
      </c>
      <c r="H55" s="7" t="s">
        <v>2471</v>
      </c>
      <c r="I55" s="7" t="s">
        <v>2575</v>
      </c>
      <c r="J55" s="7"/>
      <c r="K55" s="7"/>
      <c r="L55" s="11"/>
    </row>
    <row r="56" spans="1:12" ht="39.950000000000003" customHeight="1" x14ac:dyDescent="0.25">
      <c r="A56" s="6" t="s">
        <v>1364</v>
      </c>
      <c r="B56" s="7" t="s">
        <v>1365</v>
      </c>
      <c r="C56" s="8">
        <v>1</v>
      </c>
      <c r="D56" s="9">
        <v>39.99</v>
      </c>
      <c r="E56" s="8">
        <v>10011418800</v>
      </c>
      <c r="F56" s="7" t="s">
        <v>3463</v>
      </c>
      <c r="G56" s="10" t="s">
        <v>3833</v>
      </c>
      <c r="H56" s="7" t="s">
        <v>3654</v>
      </c>
      <c r="I56" s="7" t="s">
        <v>3655</v>
      </c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1366</v>
      </c>
      <c r="B2" s="7" t="s">
        <v>1367</v>
      </c>
      <c r="C2" s="8">
        <v>1</v>
      </c>
      <c r="D2" s="9">
        <v>249.99</v>
      </c>
      <c r="E2" s="8" t="s">
        <v>1368</v>
      </c>
      <c r="F2" s="7" t="s">
        <v>3451</v>
      </c>
      <c r="G2" s="10"/>
      <c r="H2" s="7" t="s">
        <v>3688</v>
      </c>
      <c r="I2" s="7" t="s">
        <v>1513</v>
      </c>
      <c r="J2" s="7" t="s">
        <v>3426</v>
      </c>
      <c r="K2" s="7" t="s">
        <v>3811</v>
      </c>
      <c r="L2" s="11" t="str">
        <f>HYPERLINK("http://slimages.macys.com/is/image/MCY/11719559 ")</f>
        <v xml:space="preserve">http://slimages.macys.com/is/image/MCY/11719559 </v>
      </c>
    </row>
    <row r="3" spans="1:12" ht="39.950000000000003" customHeight="1" x14ac:dyDescent="0.25">
      <c r="A3" s="6" t="s">
        <v>1369</v>
      </c>
      <c r="B3" s="7" t="s">
        <v>1370</v>
      </c>
      <c r="C3" s="8">
        <v>1</v>
      </c>
      <c r="D3" s="9">
        <v>329.99</v>
      </c>
      <c r="E3" s="8" t="s">
        <v>1371</v>
      </c>
      <c r="F3" s="7" t="s">
        <v>3423</v>
      </c>
      <c r="G3" s="10" t="s">
        <v>3439</v>
      </c>
      <c r="H3" s="7" t="s">
        <v>3440</v>
      </c>
      <c r="I3" s="7" t="s">
        <v>3683</v>
      </c>
      <c r="J3" s="7"/>
      <c r="K3" s="7"/>
      <c r="L3" s="11" t="str">
        <f>HYPERLINK("http://slimages.macys.com/is/image/MCY/18613770 ")</f>
        <v xml:space="preserve">http://slimages.macys.com/is/image/MCY/18613770 </v>
      </c>
    </row>
    <row r="4" spans="1:12" ht="39.950000000000003" customHeight="1" x14ac:dyDescent="0.25">
      <c r="A4" s="6" t="s">
        <v>1372</v>
      </c>
      <c r="B4" s="7" t="s">
        <v>1373</v>
      </c>
      <c r="C4" s="8">
        <v>1</v>
      </c>
      <c r="D4" s="9">
        <v>249.99</v>
      </c>
      <c r="E4" s="8" t="s">
        <v>1374</v>
      </c>
      <c r="F4" s="7" t="s">
        <v>3832</v>
      </c>
      <c r="G4" s="10"/>
      <c r="H4" s="7" t="s">
        <v>3688</v>
      </c>
      <c r="I4" s="7" t="s">
        <v>1375</v>
      </c>
      <c r="J4" s="7"/>
      <c r="K4" s="7"/>
      <c r="L4" s="11" t="str">
        <f>HYPERLINK("http://slimages.macys.com/is/image/MCY/17143373 ")</f>
        <v xml:space="preserve">http://slimages.macys.com/is/image/MCY/17143373 </v>
      </c>
    </row>
    <row r="5" spans="1:12" ht="39.950000000000003" customHeight="1" x14ac:dyDescent="0.25">
      <c r="A5" s="6" t="s">
        <v>1376</v>
      </c>
      <c r="B5" s="7" t="s">
        <v>1377</v>
      </c>
      <c r="C5" s="8">
        <v>1</v>
      </c>
      <c r="D5" s="9">
        <v>209.99</v>
      </c>
      <c r="E5" s="8">
        <v>16911322</v>
      </c>
      <c r="F5" s="7" t="s">
        <v>3451</v>
      </c>
      <c r="G5" s="10"/>
      <c r="H5" s="7" t="s">
        <v>3424</v>
      </c>
      <c r="I5" s="7" t="s">
        <v>3700</v>
      </c>
      <c r="J5" s="7" t="s">
        <v>3426</v>
      </c>
      <c r="K5" s="7"/>
      <c r="L5" s="11" t="str">
        <f>HYPERLINK("http://slimages.macys.com/is/image/MCY/8689935 ")</f>
        <v xml:space="preserve">http://slimages.macys.com/is/image/MCY/8689935 </v>
      </c>
    </row>
    <row r="6" spans="1:12" ht="39.950000000000003" customHeight="1" x14ac:dyDescent="0.25">
      <c r="A6" s="6" t="s">
        <v>1378</v>
      </c>
      <c r="B6" s="7" t="s">
        <v>1379</v>
      </c>
      <c r="C6" s="8">
        <v>1</v>
      </c>
      <c r="D6" s="9">
        <v>159.99</v>
      </c>
      <c r="E6" s="8" t="s">
        <v>1380</v>
      </c>
      <c r="F6" s="7"/>
      <c r="G6" s="10"/>
      <c r="H6" s="7" t="s">
        <v>3688</v>
      </c>
      <c r="I6" s="7" t="s">
        <v>1381</v>
      </c>
      <c r="J6" s="7" t="s">
        <v>3426</v>
      </c>
      <c r="K6" s="7" t="s">
        <v>1382</v>
      </c>
      <c r="L6" s="11" t="str">
        <f>HYPERLINK("http://slimages.macys.com/is/image/MCY/9000555 ")</f>
        <v xml:space="preserve">http://slimages.macys.com/is/image/MCY/9000555 </v>
      </c>
    </row>
    <row r="7" spans="1:12" ht="39.950000000000003" customHeight="1" x14ac:dyDescent="0.25">
      <c r="A7" s="6" t="s">
        <v>1383</v>
      </c>
      <c r="B7" s="7" t="s">
        <v>1384</v>
      </c>
      <c r="C7" s="8">
        <v>1</v>
      </c>
      <c r="D7" s="9">
        <v>329.99</v>
      </c>
      <c r="E7" s="8" t="s">
        <v>1385</v>
      </c>
      <c r="F7" s="7" t="s">
        <v>3445</v>
      </c>
      <c r="G7" s="10"/>
      <c r="H7" s="7" t="s">
        <v>3440</v>
      </c>
      <c r="I7" s="7" t="s">
        <v>3948</v>
      </c>
      <c r="J7" s="7" t="s">
        <v>3426</v>
      </c>
      <c r="K7" s="7" t="s">
        <v>3084</v>
      </c>
      <c r="L7" s="11" t="str">
        <f>HYPERLINK("http://slimages.macys.com/is/image/MCY/15604029 ")</f>
        <v xml:space="preserve">http://slimages.macys.com/is/image/MCY/15604029 </v>
      </c>
    </row>
    <row r="8" spans="1:12" ht="39.950000000000003" customHeight="1" x14ac:dyDescent="0.25">
      <c r="A8" s="6" t="s">
        <v>1386</v>
      </c>
      <c r="B8" s="7" t="s">
        <v>1387</v>
      </c>
      <c r="C8" s="8">
        <v>1</v>
      </c>
      <c r="D8" s="9">
        <v>179.99</v>
      </c>
      <c r="E8" s="8">
        <v>2000001217</v>
      </c>
      <c r="F8" s="7" t="s">
        <v>3496</v>
      </c>
      <c r="G8" s="10"/>
      <c r="H8" s="7" t="s">
        <v>3478</v>
      </c>
      <c r="I8" s="7" t="s">
        <v>3517</v>
      </c>
      <c r="J8" s="7"/>
      <c r="K8" s="7"/>
      <c r="L8" s="11" t="str">
        <f>HYPERLINK("http://slimages.macys.com/is/image/MCY/18724463 ")</f>
        <v xml:space="preserve">http://slimages.macys.com/is/image/MCY/18724463 </v>
      </c>
    </row>
    <row r="9" spans="1:12" ht="39.950000000000003" customHeight="1" x14ac:dyDescent="0.25">
      <c r="A9" s="6" t="s">
        <v>1388</v>
      </c>
      <c r="B9" s="7" t="s">
        <v>1389</v>
      </c>
      <c r="C9" s="8">
        <v>2</v>
      </c>
      <c r="D9" s="9">
        <v>199.98</v>
      </c>
      <c r="E9" s="8" t="s">
        <v>1390</v>
      </c>
      <c r="F9" s="7" t="s">
        <v>3451</v>
      </c>
      <c r="G9" s="10"/>
      <c r="H9" s="7" t="s">
        <v>3490</v>
      </c>
      <c r="I9" s="7" t="s">
        <v>1391</v>
      </c>
      <c r="J9" s="7"/>
      <c r="K9" s="7"/>
      <c r="L9" s="11" t="str">
        <f>HYPERLINK("http://slimages.macys.com/is/image/MCY/17896510 ")</f>
        <v xml:space="preserve">http://slimages.macys.com/is/image/MCY/17896510 </v>
      </c>
    </row>
    <row r="10" spans="1:12" ht="39.950000000000003" customHeight="1" x14ac:dyDescent="0.25">
      <c r="A10" s="6" t="s">
        <v>1392</v>
      </c>
      <c r="B10" s="7" t="s">
        <v>1393</v>
      </c>
      <c r="C10" s="8">
        <v>1</v>
      </c>
      <c r="D10" s="9">
        <v>99.99</v>
      </c>
      <c r="E10" s="8" t="s">
        <v>1394</v>
      </c>
      <c r="F10" s="7" t="s">
        <v>3445</v>
      </c>
      <c r="G10" s="10"/>
      <c r="H10" s="7" t="s">
        <v>3458</v>
      </c>
      <c r="I10" s="7" t="s">
        <v>1697</v>
      </c>
      <c r="J10" s="7" t="s">
        <v>3426</v>
      </c>
      <c r="K10" s="7"/>
      <c r="L10" s="11" t="str">
        <f>HYPERLINK("http://slimages.macys.com/is/image/MCY/8813910 ")</f>
        <v xml:space="preserve">http://slimages.macys.com/is/image/MCY/8813910 </v>
      </c>
    </row>
    <row r="11" spans="1:12" ht="39.950000000000003" customHeight="1" x14ac:dyDescent="0.25">
      <c r="A11" s="6" t="s">
        <v>1395</v>
      </c>
      <c r="B11" s="7" t="s">
        <v>1396</v>
      </c>
      <c r="C11" s="8">
        <v>1</v>
      </c>
      <c r="D11" s="9">
        <v>99.99</v>
      </c>
      <c r="E11" s="8">
        <v>13861</v>
      </c>
      <c r="F11" s="7" t="s">
        <v>3445</v>
      </c>
      <c r="G11" s="10"/>
      <c r="H11" s="7" t="s">
        <v>2471</v>
      </c>
      <c r="I11" s="7" t="s">
        <v>1397</v>
      </c>
      <c r="J11" s="7"/>
      <c r="K11" s="7"/>
      <c r="L11" s="11" t="str">
        <f>HYPERLINK("http://slimages.macys.com/is/image/MCY/17673725 ")</f>
        <v xml:space="preserve">http://slimages.macys.com/is/image/MCY/17673725 </v>
      </c>
    </row>
    <row r="12" spans="1:12" ht="39.950000000000003" customHeight="1" x14ac:dyDescent="0.25">
      <c r="A12" s="6" t="s">
        <v>1398</v>
      </c>
      <c r="B12" s="7" t="s">
        <v>1399</v>
      </c>
      <c r="C12" s="8">
        <v>1</v>
      </c>
      <c r="D12" s="9">
        <v>140.99</v>
      </c>
      <c r="E12" s="8" t="s">
        <v>1400</v>
      </c>
      <c r="F12" s="7" t="s">
        <v>3720</v>
      </c>
      <c r="G12" s="10"/>
      <c r="H12" s="7" t="s">
        <v>3478</v>
      </c>
      <c r="I12" s="7" t="s">
        <v>3553</v>
      </c>
      <c r="J12" s="7" t="s">
        <v>3426</v>
      </c>
      <c r="K12" s="7" t="s">
        <v>1401</v>
      </c>
      <c r="L12" s="11" t="str">
        <f>HYPERLINK("http://slimages.macys.com/is/image/MCY/12490080 ")</f>
        <v xml:space="preserve">http://slimages.macys.com/is/image/MCY/12490080 </v>
      </c>
    </row>
    <row r="13" spans="1:12" ht="39.950000000000003" customHeight="1" x14ac:dyDescent="0.25">
      <c r="A13" s="6" t="s">
        <v>1402</v>
      </c>
      <c r="B13" s="7" t="s">
        <v>1403</v>
      </c>
      <c r="C13" s="8">
        <v>1</v>
      </c>
      <c r="D13" s="9">
        <v>139.99</v>
      </c>
      <c r="E13" s="8" t="s">
        <v>1404</v>
      </c>
      <c r="F13" s="7" t="s">
        <v>3431</v>
      </c>
      <c r="G13" s="10" t="s">
        <v>3439</v>
      </c>
      <c r="H13" s="7" t="s">
        <v>3572</v>
      </c>
      <c r="I13" s="7" t="s">
        <v>3724</v>
      </c>
      <c r="J13" s="7" t="s">
        <v>3426</v>
      </c>
      <c r="K13" s="7"/>
      <c r="L13" s="11" t="str">
        <f>HYPERLINK("http://slimages.macys.com/is/image/MCY/16384053 ")</f>
        <v xml:space="preserve">http://slimages.macys.com/is/image/MCY/16384053 </v>
      </c>
    </row>
    <row r="14" spans="1:12" ht="39.950000000000003" customHeight="1" x14ac:dyDescent="0.25">
      <c r="A14" s="6" t="s">
        <v>1405</v>
      </c>
      <c r="B14" s="7" t="s">
        <v>1406</v>
      </c>
      <c r="C14" s="8">
        <v>1</v>
      </c>
      <c r="D14" s="9">
        <v>119.99</v>
      </c>
      <c r="E14" s="8" t="s">
        <v>1407</v>
      </c>
      <c r="F14" s="7" t="s">
        <v>3463</v>
      </c>
      <c r="G14" s="10"/>
      <c r="H14" s="7" t="s">
        <v>3572</v>
      </c>
      <c r="I14" s="7" t="s">
        <v>3724</v>
      </c>
      <c r="J14" s="7"/>
      <c r="K14" s="7"/>
      <c r="L14" s="11" t="str">
        <f>HYPERLINK("http://slimages.macys.com/is/image/MCY/18266992 ")</f>
        <v xml:space="preserve">http://slimages.macys.com/is/image/MCY/18266992 </v>
      </c>
    </row>
    <row r="15" spans="1:12" ht="39.950000000000003" customHeight="1" x14ac:dyDescent="0.25">
      <c r="A15" s="6" t="s">
        <v>1408</v>
      </c>
      <c r="B15" s="7" t="s">
        <v>1409</v>
      </c>
      <c r="C15" s="8">
        <v>1</v>
      </c>
      <c r="D15" s="9">
        <v>69.989999999999995</v>
      </c>
      <c r="E15" s="8" t="s">
        <v>1410</v>
      </c>
      <c r="F15" s="7" t="s">
        <v>3720</v>
      </c>
      <c r="G15" s="10"/>
      <c r="H15" s="7" t="s">
        <v>3458</v>
      </c>
      <c r="I15" s="7" t="s">
        <v>3459</v>
      </c>
      <c r="J15" s="7" t="s">
        <v>3426</v>
      </c>
      <c r="K15" s="7" t="s">
        <v>3485</v>
      </c>
      <c r="L15" s="11" t="str">
        <f>HYPERLINK("http://slimages.macys.com/is/image/MCY/8433239 ")</f>
        <v xml:space="preserve">http://slimages.macys.com/is/image/MCY/8433239 </v>
      </c>
    </row>
    <row r="16" spans="1:12" ht="39.950000000000003" customHeight="1" x14ac:dyDescent="0.25">
      <c r="A16" s="6" t="s">
        <v>1411</v>
      </c>
      <c r="B16" s="7" t="s">
        <v>1412</v>
      </c>
      <c r="C16" s="8">
        <v>1</v>
      </c>
      <c r="D16" s="9">
        <v>74.989999999999995</v>
      </c>
      <c r="E16" s="8" t="s">
        <v>1413</v>
      </c>
      <c r="F16" s="7" t="s">
        <v>3716</v>
      </c>
      <c r="G16" s="10"/>
      <c r="H16" s="7" t="s">
        <v>3478</v>
      </c>
      <c r="I16" s="7" t="s">
        <v>3553</v>
      </c>
      <c r="J16" s="7" t="s">
        <v>3426</v>
      </c>
      <c r="K16" s="7" t="s">
        <v>1414</v>
      </c>
      <c r="L16" s="11" t="str">
        <f>HYPERLINK("http://slimages.macys.com/is/image/MCY/9433629 ")</f>
        <v xml:space="preserve">http://slimages.macys.com/is/image/MCY/9433629 </v>
      </c>
    </row>
    <row r="17" spans="1:12" ht="39.950000000000003" customHeight="1" x14ac:dyDescent="0.25">
      <c r="A17" s="6" t="s">
        <v>1415</v>
      </c>
      <c r="B17" s="7" t="s">
        <v>1416</v>
      </c>
      <c r="C17" s="8">
        <v>1</v>
      </c>
      <c r="D17" s="9">
        <v>74.989999999999995</v>
      </c>
      <c r="E17" s="8">
        <v>70112</v>
      </c>
      <c r="F17" s="7" t="s">
        <v>3445</v>
      </c>
      <c r="G17" s="10" t="s">
        <v>3547</v>
      </c>
      <c r="H17" s="7" t="s">
        <v>3559</v>
      </c>
      <c r="I17" s="7" t="s">
        <v>3560</v>
      </c>
      <c r="J17" s="7" t="s">
        <v>3426</v>
      </c>
      <c r="K17" s="7" t="s">
        <v>3561</v>
      </c>
      <c r="L17" s="11" t="str">
        <f>HYPERLINK("http://slimages.macys.com/is/image/MCY/16095185 ")</f>
        <v xml:space="preserve">http://slimages.macys.com/is/image/MCY/16095185 </v>
      </c>
    </row>
    <row r="18" spans="1:12" ht="39.950000000000003" customHeight="1" x14ac:dyDescent="0.25">
      <c r="A18" s="6" t="s">
        <v>4110</v>
      </c>
      <c r="B18" s="7" t="s">
        <v>4111</v>
      </c>
      <c r="C18" s="8">
        <v>1</v>
      </c>
      <c r="D18" s="9">
        <v>64.989999999999995</v>
      </c>
      <c r="E18" s="8" t="s">
        <v>4112</v>
      </c>
      <c r="F18" s="7" t="s">
        <v>3804</v>
      </c>
      <c r="G18" s="10"/>
      <c r="H18" s="7" t="s">
        <v>3478</v>
      </c>
      <c r="I18" s="7" t="s">
        <v>4113</v>
      </c>
      <c r="J18" s="7" t="s">
        <v>3426</v>
      </c>
      <c r="K18" s="7" t="s">
        <v>3518</v>
      </c>
      <c r="L18" s="11" t="str">
        <f>HYPERLINK("http://slimages.macys.com/is/image/MCY/10290998 ")</f>
        <v xml:space="preserve">http://slimages.macys.com/is/image/MCY/10290998 </v>
      </c>
    </row>
    <row r="19" spans="1:12" ht="39.950000000000003" customHeight="1" x14ac:dyDescent="0.25">
      <c r="A19" s="6" t="s">
        <v>1417</v>
      </c>
      <c r="B19" s="7" t="s">
        <v>1418</v>
      </c>
      <c r="C19" s="8">
        <v>1</v>
      </c>
      <c r="D19" s="9">
        <v>59.99</v>
      </c>
      <c r="E19" s="8">
        <v>70081</v>
      </c>
      <c r="F19" s="7" t="s">
        <v>3445</v>
      </c>
      <c r="G19" s="10"/>
      <c r="H19" s="7" t="s">
        <v>3559</v>
      </c>
      <c r="I19" s="7" t="s">
        <v>3560</v>
      </c>
      <c r="J19" s="7" t="s">
        <v>3426</v>
      </c>
      <c r="K19" s="7" t="s">
        <v>3561</v>
      </c>
      <c r="L19" s="11" t="str">
        <f>HYPERLINK("http://slimages.macys.com/is/image/MCY/11443707 ")</f>
        <v xml:space="preserve">http://slimages.macys.com/is/image/MCY/11443707 </v>
      </c>
    </row>
    <row r="20" spans="1:12" ht="39.950000000000003" customHeight="1" x14ac:dyDescent="0.25">
      <c r="A20" s="6" t="s">
        <v>1419</v>
      </c>
      <c r="B20" s="7" t="s">
        <v>1420</v>
      </c>
      <c r="C20" s="8">
        <v>1</v>
      </c>
      <c r="D20" s="9">
        <v>59.99</v>
      </c>
      <c r="E20" s="8" t="s">
        <v>1421</v>
      </c>
      <c r="F20" s="7" t="s">
        <v>3445</v>
      </c>
      <c r="G20" s="10"/>
      <c r="H20" s="7" t="s">
        <v>3490</v>
      </c>
      <c r="I20" s="7" t="s">
        <v>4411</v>
      </c>
      <c r="J20" s="7"/>
      <c r="K20" s="7"/>
      <c r="L20" s="11" t="str">
        <f>HYPERLINK("http://slimages.macys.com/is/image/MCY/18112092 ")</f>
        <v xml:space="preserve">http://slimages.macys.com/is/image/MCY/18112092 </v>
      </c>
    </row>
    <row r="21" spans="1:12" ht="39.950000000000003" customHeight="1" x14ac:dyDescent="0.25">
      <c r="A21" s="6" t="s">
        <v>1422</v>
      </c>
      <c r="B21" s="7" t="s">
        <v>1423</v>
      </c>
      <c r="C21" s="8">
        <v>1</v>
      </c>
      <c r="D21" s="9">
        <v>41.99</v>
      </c>
      <c r="E21" s="8" t="s">
        <v>1424</v>
      </c>
      <c r="F21" s="7" t="s">
        <v>4096</v>
      </c>
      <c r="G21" s="10"/>
      <c r="H21" s="7" t="s">
        <v>3542</v>
      </c>
      <c r="I21" s="7" t="s">
        <v>4374</v>
      </c>
      <c r="J21" s="7" t="s">
        <v>3426</v>
      </c>
      <c r="K21" s="7" t="s">
        <v>4300</v>
      </c>
      <c r="L21" s="11" t="str">
        <f>HYPERLINK("http://slimages.macys.com/is/image/MCY/10682326 ")</f>
        <v xml:space="preserve">http://slimages.macys.com/is/image/MCY/10682326 </v>
      </c>
    </row>
    <row r="22" spans="1:12" ht="39.950000000000003" customHeight="1" x14ac:dyDescent="0.25">
      <c r="A22" s="6" t="s">
        <v>1425</v>
      </c>
      <c r="B22" s="7" t="s">
        <v>1426</v>
      </c>
      <c r="C22" s="8">
        <v>1</v>
      </c>
      <c r="D22" s="9">
        <v>41.99</v>
      </c>
      <c r="E22" s="8" t="s">
        <v>1427</v>
      </c>
      <c r="F22" s="7" t="s">
        <v>3431</v>
      </c>
      <c r="G22" s="10"/>
      <c r="H22" s="7" t="s">
        <v>3542</v>
      </c>
      <c r="I22" s="7" t="s">
        <v>4374</v>
      </c>
      <c r="J22" s="7" t="s">
        <v>3426</v>
      </c>
      <c r="K22" s="7" t="s">
        <v>4300</v>
      </c>
      <c r="L22" s="11" t="str">
        <f>HYPERLINK("http://slimages.macys.com/is/image/MCY/10682326 ")</f>
        <v xml:space="preserve">http://slimages.macys.com/is/image/MCY/10682326 </v>
      </c>
    </row>
    <row r="23" spans="1:12" ht="39.950000000000003" customHeight="1" x14ac:dyDescent="0.25">
      <c r="A23" s="6" t="s">
        <v>4122</v>
      </c>
      <c r="B23" s="7" t="s">
        <v>4123</v>
      </c>
      <c r="C23" s="8">
        <v>1</v>
      </c>
      <c r="D23" s="9">
        <v>49.99</v>
      </c>
      <c r="E23" s="8" t="s">
        <v>4124</v>
      </c>
      <c r="F23" s="7" t="s">
        <v>3463</v>
      </c>
      <c r="G23" s="10"/>
      <c r="H23" s="7" t="s">
        <v>3478</v>
      </c>
      <c r="I23" s="7" t="s">
        <v>3517</v>
      </c>
      <c r="J23" s="7" t="s">
        <v>3426</v>
      </c>
      <c r="K23" s="7" t="s">
        <v>3518</v>
      </c>
      <c r="L23" s="11" t="str">
        <f>HYPERLINK("http://slimages.macys.com/is/image/MCY/8347198 ")</f>
        <v xml:space="preserve">http://slimages.macys.com/is/image/MCY/8347198 </v>
      </c>
    </row>
    <row r="24" spans="1:12" ht="39.950000000000003" customHeight="1" x14ac:dyDescent="0.25">
      <c r="A24" s="6" t="s">
        <v>1428</v>
      </c>
      <c r="B24" s="7" t="s">
        <v>1429</v>
      </c>
      <c r="C24" s="8">
        <v>1</v>
      </c>
      <c r="D24" s="9">
        <v>49.99</v>
      </c>
      <c r="E24" s="8">
        <v>70111</v>
      </c>
      <c r="F24" s="7" t="s">
        <v>3445</v>
      </c>
      <c r="G24" s="10"/>
      <c r="H24" s="7" t="s">
        <v>3559</v>
      </c>
      <c r="I24" s="7" t="s">
        <v>3560</v>
      </c>
      <c r="J24" s="7" t="s">
        <v>3426</v>
      </c>
      <c r="K24" s="7" t="s">
        <v>3561</v>
      </c>
      <c r="L24" s="11" t="str">
        <f>HYPERLINK("http://slimages.macys.com/is/image/MCY/16080631 ")</f>
        <v xml:space="preserve">http://slimages.macys.com/is/image/MCY/16080631 </v>
      </c>
    </row>
    <row r="25" spans="1:12" ht="39.950000000000003" customHeight="1" x14ac:dyDescent="0.25">
      <c r="A25" s="6" t="s">
        <v>1430</v>
      </c>
      <c r="B25" s="7" t="s">
        <v>1431</v>
      </c>
      <c r="C25" s="8">
        <v>1</v>
      </c>
      <c r="D25" s="9">
        <v>39.99</v>
      </c>
      <c r="E25" s="8" t="s">
        <v>1432</v>
      </c>
      <c r="F25" s="7" t="s">
        <v>3535</v>
      </c>
      <c r="G25" s="10" t="s">
        <v>3512</v>
      </c>
      <c r="H25" s="7" t="s">
        <v>3490</v>
      </c>
      <c r="I25" s="7" t="s">
        <v>4354</v>
      </c>
      <c r="J25" s="7"/>
      <c r="K25" s="7"/>
      <c r="L25" s="11" t="str">
        <f>HYPERLINK("http://slimages.macys.com/is/image/MCY/17220626 ")</f>
        <v xml:space="preserve">http://slimages.macys.com/is/image/MCY/17220626 </v>
      </c>
    </row>
    <row r="26" spans="1:12" ht="39.950000000000003" customHeight="1" x14ac:dyDescent="0.25">
      <c r="A26" s="6" t="s">
        <v>1433</v>
      </c>
      <c r="B26" s="7" t="s">
        <v>1434</v>
      </c>
      <c r="C26" s="8">
        <v>1</v>
      </c>
      <c r="D26" s="9">
        <v>49.99</v>
      </c>
      <c r="E26" s="8" t="s">
        <v>1435</v>
      </c>
      <c r="F26" s="7" t="s">
        <v>3511</v>
      </c>
      <c r="G26" s="10"/>
      <c r="H26" s="7" t="s">
        <v>3432</v>
      </c>
      <c r="I26" s="7" t="s">
        <v>3622</v>
      </c>
      <c r="J26" s="7" t="s">
        <v>3426</v>
      </c>
      <c r="K26" s="7" t="s">
        <v>3518</v>
      </c>
      <c r="L26" s="11" t="str">
        <f>HYPERLINK("http://slimages.macys.com/is/image/MCY/10249494 ")</f>
        <v xml:space="preserve">http://slimages.macys.com/is/image/MCY/10249494 </v>
      </c>
    </row>
    <row r="27" spans="1:12" ht="39.950000000000003" customHeight="1" x14ac:dyDescent="0.25">
      <c r="A27" s="6" t="s">
        <v>3557</v>
      </c>
      <c r="B27" s="7" t="s">
        <v>3558</v>
      </c>
      <c r="C27" s="8">
        <v>2</v>
      </c>
      <c r="D27" s="9">
        <v>79.98</v>
      </c>
      <c r="E27" s="8">
        <v>70114</v>
      </c>
      <c r="F27" s="7" t="s">
        <v>3445</v>
      </c>
      <c r="G27" s="10"/>
      <c r="H27" s="7" t="s">
        <v>3559</v>
      </c>
      <c r="I27" s="7" t="s">
        <v>3560</v>
      </c>
      <c r="J27" s="7" t="s">
        <v>3426</v>
      </c>
      <c r="K27" s="7" t="s">
        <v>3561</v>
      </c>
      <c r="L27" s="11" t="str">
        <f>HYPERLINK("http://slimages.macys.com/is/image/MCY/16080633 ")</f>
        <v xml:space="preserve">http://slimages.macys.com/is/image/MCY/16080633 </v>
      </c>
    </row>
    <row r="28" spans="1:12" ht="39.950000000000003" customHeight="1" x14ac:dyDescent="0.25">
      <c r="A28" s="6" t="s">
        <v>1436</v>
      </c>
      <c r="B28" s="7" t="s">
        <v>1437</v>
      </c>
      <c r="C28" s="8">
        <v>1</v>
      </c>
      <c r="D28" s="9">
        <v>29.99</v>
      </c>
      <c r="E28" s="8">
        <v>200781</v>
      </c>
      <c r="F28" s="7" t="s">
        <v>3511</v>
      </c>
      <c r="G28" s="10"/>
      <c r="H28" s="7" t="s">
        <v>3583</v>
      </c>
      <c r="I28" s="7" t="s">
        <v>1438</v>
      </c>
      <c r="J28" s="7" t="s">
        <v>3426</v>
      </c>
      <c r="K28" s="7" t="s">
        <v>3492</v>
      </c>
      <c r="L28" s="11" t="str">
        <f>HYPERLINK("http://slimages.macys.com/is/image/MCY/10031647 ")</f>
        <v xml:space="preserve">http://slimages.macys.com/is/image/MCY/10031647 </v>
      </c>
    </row>
    <row r="29" spans="1:12" ht="39.950000000000003" customHeight="1" x14ac:dyDescent="0.25">
      <c r="A29" s="6" t="s">
        <v>1439</v>
      </c>
      <c r="B29" s="7" t="s">
        <v>1440</v>
      </c>
      <c r="C29" s="8">
        <v>1</v>
      </c>
      <c r="D29" s="9">
        <v>59.99</v>
      </c>
      <c r="E29" s="8" t="s">
        <v>1441</v>
      </c>
      <c r="F29" s="7" t="s">
        <v>3511</v>
      </c>
      <c r="G29" s="10"/>
      <c r="H29" s="7" t="s">
        <v>3458</v>
      </c>
      <c r="I29" s="7" t="s">
        <v>3459</v>
      </c>
      <c r="J29" s="7" t="s">
        <v>3426</v>
      </c>
      <c r="K29" s="7" t="s">
        <v>3556</v>
      </c>
      <c r="L29" s="11" t="str">
        <f>HYPERLINK("http://slimages.macys.com/is/image/MCY/8432521 ")</f>
        <v xml:space="preserve">http://slimages.macys.com/is/image/MCY/8432521 </v>
      </c>
    </row>
    <row r="30" spans="1:12" ht="39.950000000000003" customHeight="1" x14ac:dyDescent="0.25">
      <c r="A30" s="6" t="s">
        <v>1442</v>
      </c>
      <c r="B30" s="7" t="s">
        <v>1443</v>
      </c>
      <c r="C30" s="8">
        <v>1</v>
      </c>
      <c r="D30" s="9">
        <v>29.99</v>
      </c>
      <c r="E30" s="8" t="s">
        <v>1444</v>
      </c>
      <c r="F30" s="7" t="s">
        <v>4167</v>
      </c>
      <c r="G30" s="10"/>
      <c r="H30" s="7" t="s">
        <v>3490</v>
      </c>
      <c r="I30" s="7" t="s">
        <v>3943</v>
      </c>
      <c r="J30" s="7" t="s">
        <v>3426</v>
      </c>
      <c r="K30" s="7" t="s">
        <v>3518</v>
      </c>
      <c r="L30" s="11" t="str">
        <f>HYPERLINK("http://slimages.macys.com/is/image/MCY/9455323 ")</f>
        <v xml:space="preserve">http://slimages.macys.com/is/image/MCY/9455323 </v>
      </c>
    </row>
    <row r="31" spans="1:12" ht="39.950000000000003" customHeight="1" x14ac:dyDescent="0.25">
      <c r="A31" s="6" t="s">
        <v>1445</v>
      </c>
      <c r="B31" s="7" t="s">
        <v>1446</v>
      </c>
      <c r="C31" s="8">
        <v>2</v>
      </c>
      <c r="D31" s="9">
        <v>59.98</v>
      </c>
      <c r="E31" s="8">
        <v>55748</v>
      </c>
      <c r="F31" s="7" t="s">
        <v>3804</v>
      </c>
      <c r="G31" s="10" t="s">
        <v>4383</v>
      </c>
      <c r="H31" s="7" t="s">
        <v>3490</v>
      </c>
      <c r="I31" s="7" t="s">
        <v>3649</v>
      </c>
      <c r="J31" s="7" t="s">
        <v>3426</v>
      </c>
      <c r="K31" s="7" t="s">
        <v>3518</v>
      </c>
      <c r="L31" s="11" t="str">
        <f>HYPERLINK("http://slimages.macys.com/is/image/MCY/12879310 ")</f>
        <v xml:space="preserve">http://slimages.macys.com/is/image/MCY/12879310 </v>
      </c>
    </row>
    <row r="32" spans="1:12" ht="39.950000000000003" customHeight="1" x14ac:dyDescent="0.25">
      <c r="A32" s="6" t="s">
        <v>2823</v>
      </c>
      <c r="B32" s="7" t="s">
        <v>2824</v>
      </c>
      <c r="C32" s="8">
        <v>1</v>
      </c>
      <c r="D32" s="9">
        <v>29.99</v>
      </c>
      <c r="E32" s="8">
        <v>2000000024</v>
      </c>
      <c r="F32" s="7" t="s">
        <v>3431</v>
      </c>
      <c r="G32" s="10"/>
      <c r="H32" s="7" t="s">
        <v>3478</v>
      </c>
      <c r="I32" s="7" t="s">
        <v>3517</v>
      </c>
      <c r="J32" s="7"/>
      <c r="K32" s="7"/>
      <c r="L32" s="11" t="str">
        <f>HYPERLINK("http://slimages.macys.com/is/image/MCY/17859316 ")</f>
        <v xml:space="preserve">http://slimages.macys.com/is/image/MCY/17859316 </v>
      </c>
    </row>
    <row r="33" spans="1:12" ht="39.950000000000003" customHeight="1" x14ac:dyDescent="0.25">
      <c r="A33" s="6" t="s">
        <v>1447</v>
      </c>
      <c r="B33" s="7" t="s">
        <v>1448</v>
      </c>
      <c r="C33" s="8">
        <v>1</v>
      </c>
      <c r="D33" s="9">
        <v>29.99</v>
      </c>
      <c r="E33" s="8" t="s">
        <v>1449</v>
      </c>
      <c r="F33" s="7" t="s">
        <v>3748</v>
      </c>
      <c r="G33" s="10"/>
      <c r="H33" s="7" t="s">
        <v>3478</v>
      </c>
      <c r="I33" s="7" t="s">
        <v>3815</v>
      </c>
      <c r="J33" s="7"/>
      <c r="K33" s="7"/>
      <c r="L33" s="11" t="str">
        <f>HYPERLINK("http://slimages.macys.com/is/image/MCY/17888289 ")</f>
        <v xml:space="preserve">http://slimages.macys.com/is/image/MCY/17888289 </v>
      </c>
    </row>
    <row r="34" spans="1:12" ht="39.950000000000003" customHeight="1" x14ac:dyDescent="0.25">
      <c r="A34" s="6" t="s">
        <v>1450</v>
      </c>
      <c r="B34" s="7" t="s">
        <v>1451</v>
      </c>
      <c r="C34" s="8">
        <v>1</v>
      </c>
      <c r="D34" s="9">
        <v>29.99</v>
      </c>
      <c r="E34" s="8" t="s">
        <v>1452</v>
      </c>
      <c r="F34" s="7"/>
      <c r="G34" s="10"/>
      <c r="H34" s="7" t="s">
        <v>3478</v>
      </c>
      <c r="I34" s="7" t="s">
        <v>3815</v>
      </c>
      <c r="J34" s="7" t="s">
        <v>3426</v>
      </c>
      <c r="K34" s="7" t="s">
        <v>3816</v>
      </c>
      <c r="L34" s="11" t="str">
        <f>HYPERLINK("http://slimages.macys.com/is/image/MCY/14911276 ")</f>
        <v xml:space="preserve">http://slimages.macys.com/is/image/MCY/14911276 </v>
      </c>
    </row>
    <row r="35" spans="1:12" ht="39.950000000000003" customHeight="1" x14ac:dyDescent="0.25">
      <c r="A35" s="6" t="s">
        <v>1453</v>
      </c>
      <c r="B35" s="7" t="s">
        <v>1454</v>
      </c>
      <c r="C35" s="8">
        <v>1</v>
      </c>
      <c r="D35" s="9">
        <v>33.99</v>
      </c>
      <c r="E35" s="8" t="s">
        <v>1455</v>
      </c>
      <c r="F35" s="7" t="s">
        <v>3438</v>
      </c>
      <c r="G35" s="10" t="s">
        <v>1456</v>
      </c>
      <c r="H35" s="7" t="s">
        <v>3490</v>
      </c>
      <c r="I35" s="7" t="s">
        <v>3943</v>
      </c>
      <c r="J35" s="7" t="s">
        <v>3426</v>
      </c>
      <c r="K35" s="7" t="s">
        <v>3518</v>
      </c>
      <c r="L35" s="11" t="str">
        <f>HYPERLINK("http://slimages.macys.com/is/image/MCY/15827473 ")</f>
        <v xml:space="preserve">http://slimages.macys.com/is/image/MCY/15827473 </v>
      </c>
    </row>
    <row r="36" spans="1:12" ht="39.950000000000003" customHeight="1" x14ac:dyDescent="0.25">
      <c r="A36" s="6" t="s">
        <v>1457</v>
      </c>
      <c r="B36" s="7" t="s">
        <v>1458</v>
      </c>
      <c r="C36" s="8">
        <v>1</v>
      </c>
      <c r="D36" s="9">
        <v>26.99</v>
      </c>
      <c r="E36" s="8" t="s">
        <v>1459</v>
      </c>
      <c r="F36" s="7" t="s">
        <v>3463</v>
      </c>
      <c r="G36" s="10"/>
      <c r="H36" s="7" t="s">
        <v>3478</v>
      </c>
      <c r="I36" s="7" t="s">
        <v>3553</v>
      </c>
      <c r="J36" s="7" t="s">
        <v>3426</v>
      </c>
      <c r="K36" s="7" t="s">
        <v>1460</v>
      </c>
      <c r="L36" s="11" t="str">
        <f>HYPERLINK("http://slimages.macys.com/is/image/MCY/9767691 ")</f>
        <v xml:space="preserve">http://slimages.macys.com/is/image/MCY/9767691 </v>
      </c>
    </row>
    <row r="37" spans="1:12" ht="39.950000000000003" customHeight="1" x14ac:dyDescent="0.25">
      <c r="A37" s="6" t="s">
        <v>1461</v>
      </c>
      <c r="B37" s="7" t="s">
        <v>0</v>
      </c>
      <c r="C37" s="8">
        <v>3</v>
      </c>
      <c r="D37" s="9">
        <v>53.97</v>
      </c>
      <c r="E37" s="8" t="s">
        <v>1</v>
      </c>
      <c r="F37" s="7" t="s">
        <v>4167</v>
      </c>
      <c r="G37" s="10"/>
      <c r="H37" s="7" t="s">
        <v>3490</v>
      </c>
      <c r="I37" s="7" t="s">
        <v>3649</v>
      </c>
      <c r="J37" s="7" t="s">
        <v>3426</v>
      </c>
      <c r="K37" s="7"/>
      <c r="L37" s="11" t="str">
        <f>HYPERLINK("http://slimages.macys.com/is/image/MCY/10007752 ")</f>
        <v xml:space="preserve">http://slimages.macys.com/is/image/MCY/10007752 </v>
      </c>
    </row>
    <row r="38" spans="1:12" ht="39.950000000000003" customHeight="1" x14ac:dyDescent="0.25">
      <c r="A38" s="6" t="s">
        <v>2</v>
      </c>
      <c r="B38" s="7" t="s">
        <v>3</v>
      </c>
      <c r="C38" s="8">
        <v>2</v>
      </c>
      <c r="D38" s="9">
        <v>35.979999999999997</v>
      </c>
      <c r="E38" s="8">
        <v>50975</v>
      </c>
      <c r="F38" s="7" t="s">
        <v>3431</v>
      </c>
      <c r="G38" s="10"/>
      <c r="H38" s="7" t="s">
        <v>3490</v>
      </c>
      <c r="I38" s="7" t="s">
        <v>3649</v>
      </c>
      <c r="J38" s="7" t="s">
        <v>3426</v>
      </c>
      <c r="K38" s="7"/>
      <c r="L38" s="11" t="str">
        <f>HYPERLINK("http://slimages.macys.com/is/image/MCY/10007752 ")</f>
        <v xml:space="preserve">http://slimages.macys.com/is/image/MCY/10007752 </v>
      </c>
    </row>
    <row r="39" spans="1:12" ht="39.950000000000003" customHeight="1" x14ac:dyDescent="0.25">
      <c r="A39" s="6" t="s">
        <v>4</v>
      </c>
      <c r="B39" s="7" t="s">
        <v>5</v>
      </c>
      <c r="C39" s="8">
        <v>1</v>
      </c>
      <c r="D39" s="9">
        <v>19.989999999999998</v>
      </c>
      <c r="E39" s="8" t="s">
        <v>6</v>
      </c>
      <c r="F39" s="7" t="s">
        <v>7</v>
      </c>
      <c r="G39" s="10"/>
      <c r="H39" s="7" t="s">
        <v>3542</v>
      </c>
      <c r="I39" s="7" t="s">
        <v>3829</v>
      </c>
      <c r="J39" s="7"/>
      <c r="K39" s="7"/>
      <c r="L39" s="11" t="str">
        <f>HYPERLINK("http://slimages.macys.com/is/image/MCY/17923602 ")</f>
        <v xml:space="preserve">http://slimages.macys.com/is/image/MCY/17923602 </v>
      </c>
    </row>
    <row r="40" spans="1:12" ht="39.950000000000003" customHeight="1" x14ac:dyDescent="0.25">
      <c r="A40" s="6" t="s">
        <v>8</v>
      </c>
      <c r="B40" s="7" t="s">
        <v>9</v>
      </c>
      <c r="C40" s="8">
        <v>1</v>
      </c>
      <c r="D40" s="9">
        <v>14.99</v>
      </c>
      <c r="E40" s="8">
        <v>53205</v>
      </c>
      <c r="F40" s="7" t="s">
        <v>10</v>
      </c>
      <c r="G40" s="10"/>
      <c r="H40" s="7" t="s">
        <v>3490</v>
      </c>
      <c r="I40" s="7" t="s">
        <v>3649</v>
      </c>
      <c r="J40" s="7" t="s">
        <v>3426</v>
      </c>
      <c r="K40" s="7"/>
      <c r="L40" s="11" t="str">
        <f>HYPERLINK("http://slimages.macys.com/is/image/MCY/8759720 ")</f>
        <v xml:space="preserve">http://slimages.macys.com/is/image/MCY/8759720 </v>
      </c>
    </row>
    <row r="41" spans="1:12" ht="39.950000000000003" customHeight="1" x14ac:dyDescent="0.25">
      <c r="A41" s="6" t="s">
        <v>11</v>
      </c>
      <c r="B41" s="7" t="s">
        <v>12</v>
      </c>
      <c r="C41" s="8">
        <v>1</v>
      </c>
      <c r="D41" s="9">
        <v>14.99</v>
      </c>
      <c r="E41" s="8" t="s">
        <v>13</v>
      </c>
      <c r="F41" s="7" t="s">
        <v>3832</v>
      </c>
      <c r="G41" s="10" t="s">
        <v>4383</v>
      </c>
      <c r="H41" s="7" t="s">
        <v>3490</v>
      </c>
      <c r="I41" s="7" t="s">
        <v>3734</v>
      </c>
      <c r="J41" s="7" t="s">
        <v>3426</v>
      </c>
      <c r="K41" s="7"/>
      <c r="L41" s="11" t="str">
        <f>HYPERLINK("http://slimages.macys.com/is/image/MCY/8758046 ")</f>
        <v xml:space="preserve">http://slimages.macys.com/is/image/MCY/8758046 </v>
      </c>
    </row>
    <row r="42" spans="1:12" ht="39.950000000000003" customHeight="1" x14ac:dyDescent="0.25">
      <c r="A42" s="6" t="s">
        <v>14</v>
      </c>
      <c r="B42" s="7" t="s">
        <v>15</v>
      </c>
      <c r="C42" s="8">
        <v>1</v>
      </c>
      <c r="D42" s="9">
        <v>24.99</v>
      </c>
      <c r="E42" s="8">
        <v>100109835</v>
      </c>
      <c r="F42" s="7" t="s">
        <v>3445</v>
      </c>
      <c r="G42" s="10"/>
      <c r="H42" s="7" t="s">
        <v>3467</v>
      </c>
      <c r="I42" s="7" t="s">
        <v>3468</v>
      </c>
      <c r="J42" s="7"/>
      <c r="K42" s="7"/>
      <c r="L42" s="11" t="str">
        <f>HYPERLINK("http://slimages.macys.com/is/image/MCY/17667172 ")</f>
        <v xml:space="preserve">http://slimages.macys.com/is/image/MCY/17667172 </v>
      </c>
    </row>
    <row r="43" spans="1:12" ht="39.950000000000003" customHeight="1" x14ac:dyDescent="0.25">
      <c r="A43" s="6" t="s">
        <v>16</v>
      </c>
      <c r="B43" s="7" t="s">
        <v>17</v>
      </c>
      <c r="C43" s="8">
        <v>1</v>
      </c>
      <c r="D43" s="9">
        <v>39.99</v>
      </c>
      <c r="E43" s="8" t="s">
        <v>18</v>
      </c>
      <c r="F43" s="7" t="s">
        <v>4022</v>
      </c>
      <c r="G43" s="10"/>
      <c r="H43" s="7" t="s">
        <v>3458</v>
      </c>
      <c r="I43" s="7" t="s">
        <v>3459</v>
      </c>
      <c r="J43" s="7" t="s">
        <v>3426</v>
      </c>
      <c r="K43" s="7"/>
      <c r="L43" s="11" t="str">
        <f>HYPERLINK("http://slimages.macys.com/is/image/MCY/8433239 ")</f>
        <v xml:space="preserve">http://slimages.macys.com/is/image/MCY/8433239 </v>
      </c>
    </row>
    <row r="44" spans="1:12" ht="39.950000000000003" customHeight="1" x14ac:dyDescent="0.25">
      <c r="A44" s="6" t="s">
        <v>19</v>
      </c>
      <c r="B44" s="7" t="s">
        <v>20</v>
      </c>
      <c r="C44" s="8">
        <v>1</v>
      </c>
      <c r="D44" s="9">
        <v>8.99</v>
      </c>
      <c r="E44" s="8">
        <v>19878</v>
      </c>
      <c r="F44" s="7" t="s">
        <v>3445</v>
      </c>
      <c r="G44" s="10"/>
      <c r="H44" s="7" t="s">
        <v>3490</v>
      </c>
      <c r="I44" s="7" t="s">
        <v>3649</v>
      </c>
      <c r="J44" s="7" t="s">
        <v>3426</v>
      </c>
      <c r="K44" s="7" t="s">
        <v>3518</v>
      </c>
      <c r="L44" s="11" t="str">
        <f>HYPERLINK("http://slimages.macys.com/is/image/MCY/10014222 ")</f>
        <v xml:space="preserve">http://slimages.macys.com/is/image/MCY/10014222 </v>
      </c>
    </row>
    <row r="45" spans="1:12" ht="39.950000000000003" customHeight="1" x14ac:dyDescent="0.25">
      <c r="A45" s="6" t="s">
        <v>21</v>
      </c>
      <c r="B45" s="7" t="s">
        <v>22</v>
      </c>
      <c r="C45" s="8">
        <v>1</v>
      </c>
      <c r="D45" s="9">
        <v>3.99</v>
      </c>
      <c r="E45" s="8" t="s">
        <v>23</v>
      </c>
      <c r="F45" s="7" t="s">
        <v>3511</v>
      </c>
      <c r="G45" s="10" t="s">
        <v>4360</v>
      </c>
      <c r="H45" s="7" t="s">
        <v>3635</v>
      </c>
      <c r="I45" s="7" t="s">
        <v>2845</v>
      </c>
      <c r="J45" s="7" t="s">
        <v>3426</v>
      </c>
      <c r="K45" s="7" t="s">
        <v>3835</v>
      </c>
      <c r="L45" s="11" t="str">
        <f>HYPERLINK("http://slimages.macys.com/is/image/MCY/13683744 ")</f>
        <v xml:space="preserve">http://slimages.macys.com/is/image/MCY/13683744 </v>
      </c>
    </row>
    <row r="46" spans="1:12" ht="39.950000000000003" customHeight="1" x14ac:dyDescent="0.25">
      <c r="A46" s="6" t="s">
        <v>3667</v>
      </c>
      <c r="B46" s="7" t="s">
        <v>3668</v>
      </c>
      <c r="C46" s="8">
        <v>10</v>
      </c>
      <c r="D46" s="9">
        <v>400</v>
      </c>
      <c r="E46" s="8"/>
      <c r="F46" s="7" t="s">
        <v>3610</v>
      </c>
      <c r="G46" s="10" t="s">
        <v>3489</v>
      </c>
      <c r="H46" s="7" t="s">
        <v>3669</v>
      </c>
      <c r="I46" s="7" t="s">
        <v>3670</v>
      </c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24</v>
      </c>
      <c r="B2" s="7" t="s">
        <v>25</v>
      </c>
      <c r="C2" s="8">
        <v>1</v>
      </c>
      <c r="D2" s="9">
        <v>229.99</v>
      </c>
      <c r="E2" s="8">
        <v>67088</v>
      </c>
      <c r="F2" s="7" t="s">
        <v>3445</v>
      </c>
      <c r="G2" s="10"/>
      <c r="H2" s="7" t="s">
        <v>2471</v>
      </c>
      <c r="I2" s="7" t="s">
        <v>26</v>
      </c>
      <c r="J2" s="7" t="s">
        <v>3549</v>
      </c>
      <c r="K2" s="7" t="s">
        <v>27</v>
      </c>
      <c r="L2" s="11" t="str">
        <f>HYPERLINK("http://slimages.macys.com/is/image/MCY/2861124 ")</f>
        <v xml:space="preserve">http://slimages.macys.com/is/image/MCY/2861124 </v>
      </c>
    </row>
    <row r="3" spans="1:12" ht="39.950000000000003" customHeight="1" x14ac:dyDescent="0.25">
      <c r="A3" s="6" t="s">
        <v>3876</v>
      </c>
      <c r="B3" s="7" t="s">
        <v>3877</v>
      </c>
      <c r="C3" s="8">
        <v>0</v>
      </c>
      <c r="D3" s="9">
        <v>0</v>
      </c>
      <c r="E3" s="8" t="s">
        <v>3878</v>
      </c>
      <c r="F3" s="7" t="s">
        <v>3445</v>
      </c>
      <c r="G3" s="10"/>
      <c r="H3" s="7" t="s">
        <v>3676</v>
      </c>
      <c r="I3" s="7" t="s">
        <v>3548</v>
      </c>
      <c r="J3" s="7" t="s">
        <v>3564</v>
      </c>
      <c r="K3" s="7" t="s">
        <v>3879</v>
      </c>
      <c r="L3" s="11" t="str">
        <f>HYPERLINK("http://slimages.macys.com/is/image/MCY/3974561 ")</f>
        <v xml:space="preserve">http://slimages.macys.com/is/image/MCY/3974561 </v>
      </c>
    </row>
    <row r="4" spans="1:12" ht="39.950000000000003" customHeight="1" x14ac:dyDescent="0.25">
      <c r="A4" s="6" t="s">
        <v>28</v>
      </c>
      <c r="B4" s="7" t="s">
        <v>29</v>
      </c>
      <c r="C4" s="8">
        <v>1</v>
      </c>
      <c r="D4" s="9">
        <v>179.99</v>
      </c>
      <c r="E4" s="8" t="s">
        <v>30</v>
      </c>
      <c r="F4" s="7" t="s">
        <v>3687</v>
      </c>
      <c r="G4" s="10"/>
      <c r="H4" s="7" t="s">
        <v>3688</v>
      </c>
      <c r="I4" s="7" t="s">
        <v>3689</v>
      </c>
      <c r="J4" s="7"/>
      <c r="K4" s="7"/>
      <c r="L4" s="11" t="str">
        <f>HYPERLINK("http://slimages.macys.com/is/image/MCY/18716136 ")</f>
        <v xml:space="preserve">http://slimages.macys.com/is/image/MCY/18716136 </v>
      </c>
    </row>
    <row r="5" spans="1:12" ht="39.950000000000003" customHeight="1" x14ac:dyDescent="0.25">
      <c r="A5" s="6" t="s">
        <v>31</v>
      </c>
      <c r="B5" s="7" t="s">
        <v>32</v>
      </c>
      <c r="C5" s="8">
        <v>1</v>
      </c>
      <c r="D5" s="9">
        <v>179.99</v>
      </c>
      <c r="E5" s="8" t="s">
        <v>33</v>
      </c>
      <c r="F5" s="7" t="s">
        <v>3445</v>
      </c>
      <c r="G5" s="10" t="s">
        <v>3547</v>
      </c>
      <c r="H5" s="7" t="s">
        <v>3525</v>
      </c>
      <c r="I5" s="7" t="s">
        <v>3704</v>
      </c>
      <c r="J5" s="7" t="s">
        <v>3426</v>
      </c>
      <c r="K5" s="7" t="s">
        <v>3705</v>
      </c>
      <c r="L5" s="11" t="str">
        <f>HYPERLINK("http://slimages.macys.com/is/image/MCY/3962581 ")</f>
        <v xml:space="preserve">http://slimages.macys.com/is/image/MCY/3962581 </v>
      </c>
    </row>
    <row r="6" spans="1:12" ht="39.950000000000003" customHeight="1" x14ac:dyDescent="0.25">
      <c r="A6" s="6" t="s">
        <v>34</v>
      </c>
      <c r="B6" s="7" t="s">
        <v>35</v>
      </c>
      <c r="C6" s="8">
        <v>1</v>
      </c>
      <c r="D6" s="9">
        <v>170.99</v>
      </c>
      <c r="E6" s="8" t="s">
        <v>36</v>
      </c>
      <c r="F6" s="7" t="s">
        <v>3477</v>
      </c>
      <c r="G6" s="10"/>
      <c r="H6" s="7" t="s">
        <v>3478</v>
      </c>
      <c r="I6" s="7" t="s">
        <v>2160</v>
      </c>
      <c r="J6" s="7" t="s">
        <v>3426</v>
      </c>
      <c r="K6" s="7" t="s">
        <v>3492</v>
      </c>
      <c r="L6" s="11" t="str">
        <f>HYPERLINK("http://slimages.macys.com/is/image/MCY/13045859 ")</f>
        <v xml:space="preserve">http://slimages.macys.com/is/image/MCY/13045859 </v>
      </c>
    </row>
    <row r="7" spans="1:12" ht="39.950000000000003" customHeight="1" x14ac:dyDescent="0.25">
      <c r="A7" s="6" t="s">
        <v>37</v>
      </c>
      <c r="B7" s="7" t="s">
        <v>38</v>
      </c>
      <c r="C7" s="8">
        <v>1</v>
      </c>
      <c r="D7" s="9">
        <v>119.99</v>
      </c>
      <c r="E7" s="8" t="s">
        <v>39</v>
      </c>
      <c r="F7" s="7" t="s">
        <v>3445</v>
      </c>
      <c r="G7" s="10" t="s">
        <v>2503</v>
      </c>
      <c r="H7" s="7" t="s">
        <v>3559</v>
      </c>
      <c r="I7" s="7" t="s">
        <v>40</v>
      </c>
      <c r="J7" s="7" t="s">
        <v>3564</v>
      </c>
      <c r="K7" s="7" t="s">
        <v>41</v>
      </c>
      <c r="L7" s="11" t="str">
        <f>HYPERLINK("http://slimages.macys.com/is/image/MCY/12673096 ")</f>
        <v xml:space="preserve">http://slimages.macys.com/is/image/MCY/12673096 </v>
      </c>
    </row>
    <row r="8" spans="1:12" ht="39.950000000000003" customHeight="1" x14ac:dyDescent="0.25">
      <c r="A8" s="6" t="s">
        <v>666</v>
      </c>
      <c r="B8" s="7" t="s">
        <v>667</v>
      </c>
      <c r="C8" s="8">
        <v>1</v>
      </c>
      <c r="D8" s="9">
        <v>99.99</v>
      </c>
      <c r="E8" s="8" t="s">
        <v>668</v>
      </c>
      <c r="F8" s="7" t="s">
        <v>4304</v>
      </c>
      <c r="G8" s="10"/>
      <c r="H8" s="7" t="s">
        <v>3467</v>
      </c>
      <c r="I8" s="7" t="s">
        <v>4333</v>
      </c>
      <c r="J8" s="7"/>
      <c r="K8" s="7"/>
      <c r="L8" s="11" t="str">
        <f>HYPERLINK("http://slimages.macys.com/is/image/MCY/17662979 ")</f>
        <v xml:space="preserve">http://slimages.macys.com/is/image/MCY/17662979 </v>
      </c>
    </row>
    <row r="9" spans="1:12" ht="39.950000000000003" customHeight="1" x14ac:dyDescent="0.25">
      <c r="A9" s="6" t="s">
        <v>42</v>
      </c>
      <c r="B9" s="7" t="s">
        <v>43</v>
      </c>
      <c r="C9" s="8">
        <v>1</v>
      </c>
      <c r="D9" s="9">
        <v>84.99</v>
      </c>
      <c r="E9" s="8" t="s">
        <v>44</v>
      </c>
      <c r="F9" s="7" t="s">
        <v>4096</v>
      </c>
      <c r="G9" s="10"/>
      <c r="H9" s="7" t="s">
        <v>3478</v>
      </c>
      <c r="I9" s="7" t="s">
        <v>3553</v>
      </c>
      <c r="J9" s="7" t="s">
        <v>3426</v>
      </c>
      <c r="K9" s="7" t="s">
        <v>2651</v>
      </c>
      <c r="L9" s="11" t="str">
        <f>HYPERLINK("http://slimages.macys.com/is/image/MCY/9433639 ")</f>
        <v xml:space="preserve">http://slimages.macys.com/is/image/MCY/9433639 </v>
      </c>
    </row>
    <row r="10" spans="1:12" ht="39.950000000000003" customHeight="1" x14ac:dyDescent="0.25">
      <c r="A10" s="6" t="s">
        <v>45</v>
      </c>
      <c r="B10" s="7" t="s">
        <v>46</v>
      </c>
      <c r="C10" s="8">
        <v>1</v>
      </c>
      <c r="D10" s="9">
        <v>79.989999999999995</v>
      </c>
      <c r="E10" s="8" t="s">
        <v>47</v>
      </c>
      <c r="F10" s="7" t="s">
        <v>3445</v>
      </c>
      <c r="G10" s="10"/>
      <c r="H10" s="7" t="s">
        <v>2471</v>
      </c>
      <c r="I10" s="7" t="s">
        <v>3815</v>
      </c>
      <c r="J10" s="7" t="s">
        <v>3426</v>
      </c>
      <c r="K10" s="7" t="s">
        <v>3518</v>
      </c>
      <c r="L10" s="11" t="str">
        <f>HYPERLINK("http://slimages.macys.com/is/image/MCY/16069671 ")</f>
        <v xml:space="preserve">http://slimages.macys.com/is/image/MCY/16069671 </v>
      </c>
    </row>
    <row r="11" spans="1:12" ht="39.950000000000003" customHeight="1" x14ac:dyDescent="0.25">
      <c r="A11" s="6" t="s">
        <v>48</v>
      </c>
      <c r="B11" s="7" t="s">
        <v>49</v>
      </c>
      <c r="C11" s="8">
        <v>1</v>
      </c>
      <c r="D11" s="9">
        <v>69.989999999999995</v>
      </c>
      <c r="E11" s="8" t="s">
        <v>50</v>
      </c>
      <c r="F11" s="7" t="s">
        <v>3445</v>
      </c>
      <c r="G11" s="10"/>
      <c r="H11" s="7" t="s">
        <v>3478</v>
      </c>
      <c r="I11" s="7" t="s">
        <v>3553</v>
      </c>
      <c r="J11" s="7" t="s">
        <v>3426</v>
      </c>
      <c r="K11" s="7" t="s">
        <v>693</v>
      </c>
      <c r="L11" s="11" t="str">
        <f>HYPERLINK("http://slimages.macys.com/is/image/MCY/9798713 ")</f>
        <v xml:space="preserve">http://slimages.macys.com/is/image/MCY/9798713 </v>
      </c>
    </row>
    <row r="12" spans="1:12" ht="39.950000000000003" customHeight="1" x14ac:dyDescent="0.25">
      <c r="A12" s="6" t="s">
        <v>51</v>
      </c>
      <c r="B12" s="7" t="s">
        <v>52</v>
      </c>
      <c r="C12" s="8">
        <v>1</v>
      </c>
      <c r="D12" s="9">
        <v>59.99</v>
      </c>
      <c r="E12" s="8" t="s">
        <v>53</v>
      </c>
      <c r="F12" s="7" t="s">
        <v>3716</v>
      </c>
      <c r="G12" s="10"/>
      <c r="H12" s="7" t="s">
        <v>3568</v>
      </c>
      <c r="I12" s="7" t="s">
        <v>4388</v>
      </c>
      <c r="J12" s="7" t="s">
        <v>3426</v>
      </c>
      <c r="K12" s="7"/>
      <c r="L12" s="11" t="str">
        <f>HYPERLINK("http://slimages.macys.com/is/image/MCY/8670787 ")</f>
        <v xml:space="preserve">http://slimages.macys.com/is/image/MCY/8670787 </v>
      </c>
    </row>
    <row r="13" spans="1:12" ht="39.950000000000003" customHeight="1" x14ac:dyDescent="0.25">
      <c r="A13" s="6" t="s">
        <v>54</v>
      </c>
      <c r="B13" s="7" t="s">
        <v>55</v>
      </c>
      <c r="C13" s="8">
        <v>1</v>
      </c>
      <c r="D13" s="9">
        <v>67.989999999999995</v>
      </c>
      <c r="E13" s="8" t="s">
        <v>56</v>
      </c>
      <c r="F13" s="7" t="s">
        <v>3445</v>
      </c>
      <c r="G13" s="10" t="s">
        <v>2503</v>
      </c>
      <c r="H13" s="7" t="s">
        <v>3559</v>
      </c>
      <c r="I13" s="7" t="s">
        <v>3756</v>
      </c>
      <c r="J13" s="7" t="s">
        <v>3601</v>
      </c>
      <c r="K13" s="7" t="s">
        <v>2117</v>
      </c>
      <c r="L13" s="11" t="str">
        <f>HYPERLINK("http://slimages.macys.com/is/image/MCY/11798186 ")</f>
        <v xml:space="preserve">http://slimages.macys.com/is/image/MCY/11798186 </v>
      </c>
    </row>
    <row r="14" spans="1:12" ht="39.950000000000003" customHeight="1" x14ac:dyDescent="0.25">
      <c r="A14" s="6" t="s">
        <v>57</v>
      </c>
      <c r="B14" s="7" t="s">
        <v>58</v>
      </c>
      <c r="C14" s="8">
        <v>1</v>
      </c>
      <c r="D14" s="9">
        <v>49.99</v>
      </c>
      <c r="E14" s="8" t="s">
        <v>59</v>
      </c>
      <c r="F14" s="7" t="s">
        <v>3504</v>
      </c>
      <c r="G14" s="10"/>
      <c r="H14" s="7" t="s">
        <v>3542</v>
      </c>
      <c r="I14" s="7" t="s">
        <v>3741</v>
      </c>
      <c r="J14" s="7"/>
      <c r="K14" s="7"/>
      <c r="L14" s="11" t="str">
        <f>HYPERLINK("http://slimages.macys.com/is/image/MCY/17960139 ")</f>
        <v xml:space="preserve">http://slimages.macys.com/is/image/MCY/17960139 </v>
      </c>
    </row>
    <row r="15" spans="1:12" ht="39.950000000000003" customHeight="1" x14ac:dyDescent="0.25">
      <c r="A15" s="6" t="s">
        <v>2940</v>
      </c>
      <c r="B15" s="7" t="s">
        <v>2941</v>
      </c>
      <c r="C15" s="8">
        <v>1</v>
      </c>
      <c r="D15" s="9">
        <v>79.989999999999995</v>
      </c>
      <c r="E15" s="8" t="s">
        <v>2942</v>
      </c>
      <c r="F15" s="7" t="s">
        <v>3511</v>
      </c>
      <c r="G15" s="10"/>
      <c r="H15" s="7" t="s">
        <v>3440</v>
      </c>
      <c r="I15" s="7" t="s">
        <v>4036</v>
      </c>
      <c r="J15" s="7" t="s">
        <v>3426</v>
      </c>
      <c r="K15" s="7"/>
      <c r="L15" s="11" t="str">
        <f>HYPERLINK("http://slimages.macys.com/is/image/MCY/9621146 ")</f>
        <v xml:space="preserve">http://slimages.macys.com/is/image/MCY/9621146 </v>
      </c>
    </row>
    <row r="16" spans="1:12" ht="39.950000000000003" customHeight="1" x14ac:dyDescent="0.25">
      <c r="A16" s="6" t="s">
        <v>60</v>
      </c>
      <c r="B16" s="7" t="s">
        <v>61</v>
      </c>
      <c r="C16" s="8">
        <v>1</v>
      </c>
      <c r="D16" s="9">
        <v>109.99</v>
      </c>
      <c r="E16" s="8" t="s">
        <v>62</v>
      </c>
      <c r="F16" s="7" t="s">
        <v>3445</v>
      </c>
      <c r="G16" s="10"/>
      <c r="H16" s="7" t="s">
        <v>3440</v>
      </c>
      <c r="I16" s="7" t="s">
        <v>3441</v>
      </c>
      <c r="J16" s="7" t="s">
        <v>3426</v>
      </c>
      <c r="K16" s="7"/>
      <c r="L16" s="11" t="str">
        <f>HYPERLINK("http://slimages.macys.com/is/image/MCY/8315204 ")</f>
        <v xml:space="preserve">http://slimages.macys.com/is/image/MCY/8315204 </v>
      </c>
    </row>
    <row r="17" spans="1:12" ht="39.950000000000003" customHeight="1" x14ac:dyDescent="0.25">
      <c r="A17" s="6" t="s">
        <v>63</v>
      </c>
      <c r="B17" s="7" t="s">
        <v>64</v>
      </c>
      <c r="C17" s="8">
        <v>1</v>
      </c>
      <c r="D17" s="9">
        <v>59.99</v>
      </c>
      <c r="E17" s="8" t="s">
        <v>65</v>
      </c>
      <c r="F17" s="7" t="s">
        <v>3445</v>
      </c>
      <c r="G17" s="10" t="s">
        <v>3611</v>
      </c>
      <c r="H17" s="7" t="s">
        <v>3559</v>
      </c>
      <c r="I17" s="7" t="s">
        <v>4277</v>
      </c>
      <c r="J17" s="7" t="s">
        <v>3426</v>
      </c>
      <c r="K17" s="7" t="s">
        <v>3447</v>
      </c>
      <c r="L17" s="11" t="str">
        <f>HYPERLINK("http://slimages.macys.com/is/image/MCY/8117212 ")</f>
        <v xml:space="preserve">http://slimages.macys.com/is/image/MCY/8117212 </v>
      </c>
    </row>
    <row r="18" spans="1:12" ht="39.950000000000003" customHeight="1" x14ac:dyDescent="0.25">
      <c r="A18" s="6" t="s">
        <v>66</v>
      </c>
      <c r="B18" s="7" t="s">
        <v>67</v>
      </c>
      <c r="C18" s="8">
        <v>1</v>
      </c>
      <c r="D18" s="9">
        <v>80</v>
      </c>
      <c r="E18" s="8" t="s">
        <v>68</v>
      </c>
      <c r="F18" s="7" t="s">
        <v>4022</v>
      </c>
      <c r="G18" s="10"/>
      <c r="H18" s="7" t="s">
        <v>3695</v>
      </c>
      <c r="I18" s="7" t="s">
        <v>3696</v>
      </c>
      <c r="J18" s="7" t="s">
        <v>3426</v>
      </c>
      <c r="K18" s="7" t="s">
        <v>3492</v>
      </c>
      <c r="L18" s="11" t="str">
        <f>HYPERLINK("http://slimages.macys.com/is/image/MCY/10333570 ")</f>
        <v xml:space="preserve">http://slimages.macys.com/is/image/MCY/10333570 </v>
      </c>
    </row>
    <row r="19" spans="1:12" ht="39.950000000000003" customHeight="1" x14ac:dyDescent="0.25">
      <c r="A19" s="6" t="s">
        <v>69</v>
      </c>
      <c r="B19" s="7" t="s">
        <v>70</v>
      </c>
      <c r="C19" s="8">
        <v>1</v>
      </c>
      <c r="D19" s="9">
        <v>69.989999999999995</v>
      </c>
      <c r="E19" s="8">
        <v>100002777</v>
      </c>
      <c r="F19" s="7" t="s">
        <v>3832</v>
      </c>
      <c r="G19" s="10" t="s">
        <v>3809</v>
      </c>
      <c r="H19" s="7" t="s">
        <v>3440</v>
      </c>
      <c r="I19" s="7" t="s">
        <v>71</v>
      </c>
      <c r="J19" s="7" t="s">
        <v>3426</v>
      </c>
      <c r="K19" s="7" t="s">
        <v>72</v>
      </c>
      <c r="L19" s="11" t="str">
        <f>HYPERLINK("http://slimages.macys.com/is/image/MCY/9019696 ")</f>
        <v xml:space="preserve">http://slimages.macys.com/is/image/MCY/9019696 </v>
      </c>
    </row>
    <row r="20" spans="1:12" ht="39.950000000000003" customHeight="1" x14ac:dyDescent="0.25">
      <c r="A20" s="6" t="s">
        <v>73</v>
      </c>
      <c r="B20" s="7" t="s">
        <v>74</v>
      </c>
      <c r="C20" s="8">
        <v>1</v>
      </c>
      <c r="D20" s="9">
        <v>59.99</v>
      </c>
      <c r="E20" s="8">
        <v>2000001203</v>
      </c>
      <c r="F20" s="7" t="s">
        <v>3541</v>
      </c>
      <c r="G20" s="10"/>
      <c r="H20" s="7" t="s">
        <v>3478</v>
      </c>
      <c r="I20" s="7" t="s">
        <v>3517</v>
      </c>
      <c r="J20" s="7"/>
      <c r="K20" s="7"/>
      <c r="L20" s="11" t="str">
        <f>HYPERLINK("http://slimages.macys.com/is/image/MCY/18592449 ")</f>
        <v xml:space="preserve">http://slimages.macys.com/is/image/MCY/18592449 </v>
      </c>
    </row>
    <row r="21" spans="1:12" ht="39.950000000000003" customHeight="1" x14ac:dyDescent="0.25">
      <c r="A21" s="6" t="s">
        <v>75</v>
      </c>
      <c r="B21" s="7" t="s">
        <v>76</v>
      </c>
      <c r="C21" s="8">
        <v>1</v>
      </c>
      <c r="D21" s="9">
        <v>49.99</v>
      </c>
      <c r="E21" s="8" t="s">
        <v>77</v>
      </c>
      <c r="F21" s="7" t="s">
        <v>3484</v>
      </c>
      <c r="G21" s="10"/>
      <c r="H21" s="7" t="s">
        <v>3542</v>
      </c>
      <c r="I21" s="7" t="s">
        <v>4234</v>
      </c>
      <c r="J21" s="7"/>
      <c r="K21" s="7"/>
      <c r="L21" s="11" t="str">
        <f>HYPERLINK("http://slimages.macys.com/is/image/MCY/18482860 ")</f>
        <v xml:space="preserve">http://slimages.macys.com/is/image/MCY/18482860 </v>
      </c>
    </row>
    <row r="22" spans="1:12" ht="39.950000000000003" customHeight="1" x14ac:dyDescent="0.25">
      <c r="A22" s="6" t="s">
        <v>2353</v>
      </c>
      <c r="B22" s="7" t="s">
        <v>2354</v>
      </c>
      <c r="C22" s="8">
        <v>1</v>
      </c>
      <c r="D22" s="9">
        <v>49.99</v>
      </c>
      <c r="E22" s="8" t="s">
        <v>2355</v>
      </c>
      <c r="F22" s="7" t="s">
        <v>3496</v>
      </c>
      <c r="G22" s="10"/>
      <c r="H22" s="7" t="s">
        <v>3478</v>
      </c>
      <c r="I22" s="7" t="s">
        <v>3517</v>
      </c>
      <c r="J22" s="7" t="s">
        <v>3426</v>
      </c>
      <c r="K22" s="7" t="s">
        <v>3518</v>
      </c>
      <c r="L22" s="11" t="str">
        <f>HYPERLINK("http://slimages.macys.com/is/image/MCY/8347198 ")</f>
        <v xml:space="preserve">http://slimages.macys.com/is/image/MCY/8347198 </v>
      </c>
    </row>
    <row r="23" spans="1:12" ht="39.950000000000003" customHeight="1" x14ac:dyDescent="0.25">
      <c r="A23" s="6" t="s">
        <v>78</v>
      </c>
      <c r="B23" s="7" t="s">
        <v>79</v>
      </c>
      <c r="C23" s="8">
        <v>3</v>
      </c>
      <c r="D23" s="9">
        <v>299.97000000000003</v>
      </c>
      <c r="E23" s="8" t="s">
        <v>80</v>
      </c>
      <c r="F23" s="7" t="s">
        <v>3445</v>
      </c>
      <c r="G23" s="10"/>
      <c r="H23" s="7" t="s">
        <v>3440</v>
      </c>
      <c r="I23" s="7" t="s">
        <v>4036</v>
      </c>
      <c r="J23" s="7"/>
      <c r="K23" s="7"/>
      <c r="L23" s="11" t="str">
        <f>HYPERLINK("http://slimages.macys.com/is/image/MCY/16383056 ")</f>
        <v xml:space="preserve">http://slimages.macys.com/is/image/MCY/16383056 </v>
      </c>
    </row>
    <row r="24" spans="1:12" ht="39.950000000000003" customHeight="1" x14ac:dyDescent="0.25">
      <c r="A24" s="6" t="s">
        <v>81</v>
      </c>
      <c r="B24" s="7" t="s">
        <v>82</v>
      </c>
      <c r="C24" s="8">
        <v>1</v>
      </c>
      <c r="D24" s="9">
        <v>49.99</v>
      </c>
      <c r="E24" s="8">
        <v>16718138</v>
      </c>
      <c r="F24" s="7" t="s">
        <v>3240</v>
      </c>
      <c r="G24" s="10"/>
      <c r="H24" s="7" t="s">
        <v>3424</v>
      </c>
      <c r="I24" s="7" t="s">
        <v>3700</v>
      </c>
      <c r="J24" s="7" t="s">
        <v>3426</v>
      </c>
      <c r="K24" s="7" t="s">
        <v>83</v>
      </c>
      <c r="L24" s="11" t="str">
        <f>HYPERLINK("http://slimages.macys.com/is/image/MCY/3073694 ")</f>
        <v xml:space="preserve">http://slimages.macys.com/is/image/MCY/3073694 </v>
      </c>
    </row>
    <row r="25" spans="1:12" ht="39.950000000000003" customHeight="1" x14ac:dyDescent="0.25">
      <c r="A25" s="6" t="s">
        <v>84</v>
      </c>
      <c r="B25" s="7" t="s">
        <v>85</v>
      </c>
      <c r="C25" s="8">
        <v>2</v>
      </c>
      <c r="D25" s="9">
        <v>119.98</v>
      </c>
      <c r="E25" s="8" t="s">
        <v>86</v>
      </c>
      <c r="F25" s="7" t="s">
        <v>3445</v>
      </c>
      <c r="G25" s="10"/>
      <c r="H25" s="7" t="s">
        <v>3525</v>
      </c>
      <c r="I25" s="7" t="s">
        <v>3526</v>
      </c>
      <c r="J25" s="7"/>
      <c r="K25" s="7"/>
      <c r="L25" s="11" t="str">
        <f>HYPERLINK("http://slimages.macys.com/is/image/MCY/16468767 ")</f>
        <v xml:space="preserve">http://slimages.macys.com/is/image/MCY/16468767 </v>
      </c>
    </row>
    <row r="26" spans="1:12" ht="39.950000000000003" customHeight="1" x14ac:dyDescent="0.25">
      <c r="A26" s="6" t="s">
        <v>87</v>
      </c>
      <c r="B26" s="7" t="s">
        <v>88</v>
      </c>
      <c r="C26" s="8">
        <v>1</v>
      </c>
      <c r="D26" s="9">
        <v>49.99</v>
      </c>
      <c r="E26" s="8" t="s">
        <v>89</v>
      </c>
      <c r="F26" s="7" t="s">
        <v>3423</v>
      </c>
      <c r="G26" s="10" t="s">
        <v>3512</v>
      </c>
      <c r="H26" s="7" t="s">
        <v>3490</v>
      </c>
      <c r="I26" s="7" t="s">
        <v>3553</v>
      </c>
      <c r="J26" s="7" t="s">
        <v>3426</v>
      </c>
      <c r="K26" s="7" t="s">
        <v>90</v>
      </c>
      <c r="L26" s="11" t="str">
        <f>HYPERLINK("http://slimages.macys.com/is/image/MCY/9009150 ")</f>
        <v xml:space="preserve">http://slimages.macys.com/is/image/MCY/9009150 </v>
      </c>
    </row>
    <row r="27" spans="1:12" ht="39.950000000000003" customHeight="1" x14ac:dyDescent="0.25">
      <c r="A27" s="6" t="s">
        <v>91</v>
      </c>
      <c r="B27" s="7" t="s">
        <v>92</v>
      </c>
      <c r="C27" s="8">
        <v>1</v>
      </c>
      <c r="D27" s="9">
        <v>79.989999999999995</v>
      </c>
      <c r="E27" s="8" t="s">
        <v>93</v>
      </c>
      <c r="F27" s="7" t="s">
        <v>3445</v>
      </c>
      <c r="G27" s="10" t="s">
        <v>3547</v>
      </c>
      <c r="H27" s="7" t="s">
        <v>3440</v>
      </c>
      <c r="I27" s="7" t="s">
        <v>4036</v>
      </c>
      <c r="J27" s="7"/>
      <c r="K27" s="7"/>
      <c r="L27" s="11" t="str">
        <f>HYPERLINK("http://slimages.macys.com/is/image/MCY/16860902 ")</f>
        <v xml:space="preserve">http://slimages.macys.com/is/image/MCY/16860902 </v>
      </c>
    </row>
    <row r="28" spans="1:12" ht="39.950000000000003" customHeight="1" x14ac:dyDescent="0.25">
      <c r="A28" s="6" t="s">
        <v>94</v>
      </c>
      <c r="B28" s="7" t="s">
        <v>95</v>
      </c>
      <c r="C28" s="8">
        <v>1</v>
      </c>
      <c r="D28" s="9">
        <v>58.99</v>
      </c>
      <c r="E28" s="8" t="s">
        <v>96</v>
      </c>
      <c r="F28" s="7" t="s">
        <v>3804</v>
      </c>
      <c r="G28" s="10"/>
      <c r="H28" s="7" t="s">
        <v>3490</v>
      </c>
      <c r="I28" s="7" t="s">
        <v>3392</v>
      </c>
      <c r="J28" s="7" t="s">
        <v>3426</v>
      </c>
      <c r="K28" s="7" t="s">
        <v>97</v>
      </c>
      <c r="L28" s="11" t="str">
        <f>HYPERLINK("http://slimages.macys.com/is/image/MCY/11312770 ")</f>
        <v xml:space="preserve">http://slimages.macys.com/is/image/MCY/11312770 </v>
      </c>
    </row>
    <row r="29" spans="1:12" ht="39.950000000000003" customHeight="1" x14ac:dyDescent="0.25">
      <c r="A29" s="6" t="s">
        <v>98</v>
      </c>
      <c r="B29" s="7" t="s">
        <v>99</v>
      </c>
      <c r="C29" s="8">
        <v>1</v>
      </c>
      <c r="D29" s="9">
        <v>49.99</v>
      </c>
      <c r="E29" s="8" t="s">
        <v>100</v>
      </c>
      <c r="F29" s="7" t="s">
        <v>3445</v>
      </c>
      <c r="G29" s="10"/>
      <c r="H29" s="7" t="s">
        <v>3559</v>
      </c>
      <c r="I29" s="7" t="s">
        <v>3577</v>
      </c>
      <c r="J29" s="7" t="s">
        <v>3426</v>
      </c>
      <c r="K29" s="7" t="s">
        <v>101</v>
      </c>
      <c r="L29" s="11" t="str">
        <f>HYPERLINK("http://slimages.macys.com/is/image/MCY/15720066 ")</f>
        <v xml:space="preserve">http://slimages.macys.com/is/image/MCY/15720066 </v>
      </c>
    </row>
    <row r="30" spans="1:12" ht="39.950000000000003" customHeight="1" x14ac:dyDescent="0.25">
      <c r="A30" s="6" t="s">
        <v>102</v>
      </c>
      <c r="B30" s="7" t="s">
        <v>103</v>
      </c>
      <c r="C30" s="8">
        <v>1</v>
      </c>
      <c r="D30" s="9">
        <v>46.99</v>
      </c>
      <c r="E30" s="8" t="s">
        <v>104</v>
      </c>
      <c r="F30" s="7" t="s">
        <v>4096</v>
      </c>
      <c r="G30" s="10"/>
      <c r="H30" s="7" t="s">
        <v>3490</v>
      </c>
      <c r="I30" s="7" t="s">
        <v>3553</v>
      </c>
      <c r="J30" s="7" t="s">
        <v>3426</v>
      </c>
      <c r="K30" s="7" t="s">
        <v>3518</v>
      </c>
      <c r="L30" s="11" t="str">
        <f>HYPERLINK("http://slimages.macys.com/is/image/MCY/9192504 ")</f>
        <v xml:space="preserve">http://slimages.macys.com/is/image/MCY/9192504 </v>
      </c>
    </row>
    <row r="31" spans="1:12" ht="39.950000000000003" customHeight="1" x14ac:dyDescent="0.25">
      <c r="A31" s="6" t="s">
        <v>105</v>
      </c>
      <c r="B31" s="7" t="s">
        <v>106</v>
      </c>
      <c r="C31" s="8">
        <v>1</v>
      </c>
      <c r="D31" s="9">
        <v>39.99</v>
      </c>
      <c r="E31" s="8" t="s">
        <v>107</v>
      </c>
      <c r="F31" s="7" t="s">
        <v>3463</v>
      </c>
      <c r="G31" s="10" t="s">
        <v>3512</v>
      </c>
      <c r="H31" s="7" t="s">
        <v>3490</v>
      </c>
      <c r="I31" s="7" t="s">
        <v>4354</v>
      </c>
      <c r="J31" s="7"/>
      <c r="K31" s="7"/>
      <c r="L31" s="11" t="str">
        <f>HYPERLINK("http://slimages.macys.com/is/image/MCY/17220709 ")</f>
        <v xml:space="preserve">http://slimages.macys.com/is/image/MCY/17220709 </v>
      </c>
    </row>
    <row r="32" spans="1:12" ht="39.950000000000003" customHeight="1" x14ac:dyDescent="0.25">
      <c r="A32" s="6" t="s">
        <v>1430</v>
      </c>
      <c r="B32" s="7" t="s">
        <v>1431</v>
      </c>
      <c r="C32" s="8">
        <v>1</v>
      </c>
      <c r="D32" s="9">
        <v>39.99</v>
      </c>
      <c r="E32" s="8" t="s">
        <v>1432</v>
      </c>
      <c r="F32" s="7" t="s">
        <v>3535</v>
      </c>
      <c r="G32" s="10" t="s">
        <v>3512</v>
      </c>
      <c r="H32" s="7" t="s">
        <v>3490</v>
      </c>
      <c r="I32" s="7" t="s">
        <v>4354</v>
      </c>
      <c r="J32" s="7"/>
      <c r="K32" s="7"/>
      <c r="L32" s="11" t="str">
        <f>HYPERLINK("http://slimages.macys.com/is/image/MCY/17220626 ")</f>
        <v xml:space="preserve">http://slimages.macys.com/is/image/MCY/17220626 </v>
      </c>
    </row>
    <row r="33" spans="1:12" ht="39.950000000000003" customHeight="1" x14ac:dyDescent="0.25">
      <c r="A33" s="6" t="s">
        <v>108</v>
      </c>
      <c r="B33" s="7" t="s">
        <v>109</v>
      </c>
      <c r="C33" s="8">
        <v>1</v>
      </c>
      <c r="D33" s="9">
        <v>43.99</v>
      </c>
      <c r="E33" s="8" t="s">
        <v>110</v>
      </c>
      <c r="F33" s="7" t="s">
        <v>3445</v>
      </c>
      <c r="G33" s="10" t="s">
        <v>3547</v>
      </c>
      <c r="H33" s="7" t="s">
        <v>3559</v>
      </c>
      <c r="I33" s="7" t="s">
        <v>3756</v>
      </c>
      <c r="J33" s="7" t="s">
        <v>3426</v>
      </c>
      <c r="K33" s="7" t="s">
        <v>111</v>
      </c>
      <c r="L33" s="11" t="str">
        <f>HYPERLINK("http://slimages.macys.com/is/image/MCY/11798662 ")</f>
        <v xml:space="preserve">http://slimages.macys.com/is/image/MCY/11798662 </v>
      </c>
    </row>
    <row r="34" spans="1:12" ht="39.950000000000003" customHeight="1" x14ac:dyDescent="0.25">
      <c r="A34" s="6" t="s">
        <v>1731</v>
      </c>
      <c r="B34" s="7" t="s">
        <v>1732</v>
      </c>
      <c r="C34" s="8">
        <v>1</v>
      </c>
      <c r="D34" s="9">
        <v>45.99</v>
      </c>
      <c r="E34" s="8" t="s">
        <v>1733</v>
      </c>
      <c r="F34" s="7" t="s">
        <v>3445</v>
      </c>
      <c r="G34" s="10" t="s">
        <v>1734</v>
      </c>
      <c r="H34" s="7" t="s">
        <v>2471</v>
      </c>
      <c r="I34" s="7" t="s">
        <v>3777</v>
      </c>
      <c r="J34" s="7" t="s">
        <v>3426</v>
      </c>
      <c r="K34" s="7" t="s">
        <v>3518</v>
      </c>
      <c r="L34" s="11" t="str">
        <f>HYPERLINK("http://slimages.macys.com/is/image/MCY/15688079 ")</f>
        <v xml:space="preserve">http://slimages.macys.com/is/image/MCY/15688079 </v>
      </c>
    </row>
    <row r="35" spans="1:12" ht="39.950000000000003" customHeight="1" x14ac:dyDescent="0.25">
      <c r="A35" s="6" t="s">
        <v>112</v>
      </c>
      <c r="B35" s="7" t="s">
        <v>113</v>
      </c>
      <c r="C35" s="8">
        <v>1</v>
      </c>
      <c r="D35" s="9">
        <v>34.99</v>
      </c>
      <c r="E35" s="8" t="s">
        <v>114</v>
      </c>
      <c r="F35" s="7" t="s">
        <v>3445</v>
      </c>
      <c r="G35" s="10"/>
      <c r="H35" s="7" t="s">
        <v>3583</v>
      </c>
      <c r="I35" s="7" t="s">
        <v>115</v>
      </c>
      <c r="J35" s="7" t="s">
        <v>3426</v>
      </c>
      <c r="K35" s="7" t="s">
        <v>3518</v>
      </c>
      <c r="L35" s="11" t="str">
        <f>HYPERLINK("http://slimages.macys.com/is/image/MCY/15394404 ")</f>
        <v xml:space="preserve">http://slimages.macys.com/is/image/MCY/15394404 </v>
      </c>
    </row>
    <row r="36" spans="1:12" ht="39.950000000000003" customHeight="1" x14ac:dyDescent="0.25">
      <c r="A36" s="6" t="s">
        <v>116</v>
      </c>
      <c r="B36" s="7" t="s">
        <v>117</v>
      </c>
      <c r="C36" s="8">
        <v>1</v>
      </c>
      <c r="D36" s="9">
        <v>30.99</v>
      </c>
      <c r="E36" s="8" t="s">
        <v>118</v>
      </c>
      <c r="F36" s="7" t="s">
        <v>3132</v>
      </c>
      <c r="G36" s="10"/>
      <c r="H36" s="7" t="s">
        <v>3542</v>
      </c>
      <c r="I36" s="7" t="s">
        <v>2969</v>
      </c>
      <c r="J36" s="7" t="s">
        <v>3426</v>
      </c>
      <c r="K36" s="7" t="s">
        <v>3518</v>
      </c>
      <c r="L36" s="11" t="str">
        <f>HYPERLINK("http://slimages.macys.com/is/image/MCY/9912798 ")</f>
        <v xml:space="preserve">http://slimages.macys.com/is/image/MCY/9912798 </v>
      </c>
    </row>
    <row r="37" spans="1:12" ht="39.950000000000003" customHeight="1" x14ac:dyDescent="0.25">
      <c r="A37" s="6" t="s">
        <v>119</v>
      </c>
      <c r="B37" s="7" t="s">
        <v>120</v>
      </c>
      <c r="C37" s="8">
        <v>1</v>
      </c>
      <c r="D37" s="9">
        <v>39.99</v>
      </c>
      <c r="E37" s="8" t="s">
        <v>121</v>
      </c>
      <c r="F37" s="7" t="s">
        <v>3445</v>
      </c>
      <c r="G37" s="10" t="s">
        <v>3773</v>
      </c>
      <c r="H37" s="7" t="s">
        <v>3559</v>
      </c>
      <c r="I37" s="7" t="s">
        <v>3577</v>
      </c>
      <c r="J37" s="7" t="s">
        <v>3426</v>
      </c>
      <c r="K37" s="7" t="s">
        <v>122</v>
      </c>
      <c r="L37" s="11" t="str">
        <f>HYPERLINK("http://slimages.macys.com/is/image/MCY/14359160 ")</f>
        <v xml:space="preserve">http://slimages.macys.com/is/image/MCY/14359160 </v>
      </c>
    </row>
    <row r="38" spans="1:12" ht="39.950000000000003" customHeight="1" x14ac:dyDescent="0.25">
      <c r="A38" s="6" t="s">
        <v>123</v>
      </c>
      <c r="B38" s="7" t="s">
        <v>124</v>
      </c>
      <c r="C38" s="8">
        <v>1</v>
      </c>
      <c r="D38" s="9">
        <v>29.99</v>
      </c>
      <c r="E38" s="8">
        <v>21337238</v>
      </c>
      <c r="F38" s="7" t="s">
        <v>3463</v>
      </c>
      <c r="G38" s="10"/>
      <c r="H38" s="7" t="s">
        <v>3542</v>
      </c>
      <c r="I38" s="7" t="s">
        <v>3517</v>
      </c>
      <c r="J38" s="7" t="s">
        <v>3426</v>
      </c>
      <c r="K38" s="7"/>
      <c r="L38" s="11" t="str">
        <f>HYPERLINK("http://slimages.macys.com/is/image/MCY/15389782 ")</f>
        <v xml:space="preserve">http://slimages.macys.com/is/image/MCY/15389782 </v>
      </c>
    </row>
    <row r="39" spans="1:12" ht="39.950000000000003" customHeight="1" x14ac:dyDescent="0.25">
      <c r="A39" s="6" t="s">
        <v>125</v>
      </c>
      <c r="B39" s="7" t="s">
        <v>126</v>
      </c>
      <c r="C39" s="8">
        <v>1</v>
      </c>
      <c r="D39" s="9">
        <v>29.99</v>
      </c>
      <c r="E39" s="8">
        <v>21334238</v>
      </c>
      <c r="F39" s="7" t="s">
        <v>3445</v>
      </c>
      <c r="G39" s="10"/>
      <c r="H39" s="7" t="s">
        <v>3542</v>
      </c>
      <c r="I39" s="7" t="s">
        <v>3517</v>
      </c>
      <c r="J39" s="7" t="s">
        <v>3426</v>
      </c>
      <c r="K39" s="7"/>
      <c r="L39" s="11" t="str">
        <f>HYPERLINK("http://slimages.macys.com/is/image/MCY/15389782 ")</f>
        <v xml:space="preserve">http://slimages.macys.com/is/image/MCY/15389782 </v>
      </c>
    </row>
    <row r="40" spans="1:12" ht="39.950000000000003" customHeight="1" x14ac:dyDescent="0.25">
      <c r="A40" s="6" t="s">
        <v>3791</v>
      </c>
      <c r="B40" s="7" t="s">
        <v>3792</v>
      </c>
      <c r="C40" s="8">
        <v>1</v>
      </c>
      <c r="D40" s="9">
        <v>39.99</v>
      </c>
      <c r="E40" s="8" t="s">
        <v>3793</v>
      </c>
      <c r="F40" s="7" t="s">
        <v>3720</v>
      </c>
      <c r="G40" s="10" t="s">
        <v>3653</v>
      </c>
      <c r="H40" s="7" t="s">
        <v>3654</v>
      </c>
      <c r="I40" s="7" t="s">
        <v>3655</v>
      </c>
      <c r="J40" s="7" t="s">
        <v>3426</v>
      </c>
      <c r="K40" s="7" t="s">
        <v>3794</v>
      </c>
      <c r="L40" s="11" t="str">
        <f>HYPERLINK("http://slimages.macys.com/is/image/MCY/15098992 ")</f>
        <v xml:space="preserve">http://slimages.macys.com/is/image/MCY/15098992 </v>
      </c>
    </row>
    <row r="41" spans="1:12" ht="39.950000000000003" customHeight="1" x14ac:dyDescent="0.25">
      <c r="A41" s="6" t="s">
        <v>127</v>
      </c>
      <c r="B41" s="7" t="s">
        <v>128</v>
      </c>
      <c r="C41" s="8">
        <v>1</v>
      </c>
      <c r="D41" s="9">
        <v>29.99</v>
      </c>
      <c r="E41" s="8" t="s">
        <v>129</v>
      </c>
      <c r="F41" s="7" t="s">
        <v>3496</v>
      </c>
      <c r="G41" s="10"/>
      <c r="H41" s="7" t="s">
        <v>3478</v>
      </c>
      <c r="I41" s="7" t="s">
        <v>3517</v>
      </c>
      <c r="J41" s="7" t="s">
        <v>3426</v>
      </c>
      <c r="K41" s="7" t="s">
        <v>3592</v>
      </c>
      <c r="L41" s="11" t="str">
        <f>HYPERLINK("http://slimages.macys.com/is/image/MCY/9700679 ")</f>
        <v xml:space="preserve">http://slimages.macys.com/is/image/MCY/9700679 </v>
      </c>
    </row>
    <row r="42" spans="1:12" ht="39.950000000000003" customHeight="1" x14ac:dyDescent="0.25">
      <c r="A42" s="6" t="s">
        <v>130</v>
      </c>
      <c r="B42" s="7" t="s">
        <v>131</v>
      </c>
      <c r="C42" s="8">
        <v>1</v>
      </c>
      <c r="D42" s="9">
        <v>33.99</v>
      </c>
      <c r="E42" s="8" t="s">
        <v>132</v>
      </c>
      <c r="F42" s="7" t="s">
        <v>3477</v>
      </c>
      <c r="G42" s="10" t="s">
        <v>3839</v>
      </c>
      <c r="H42" s="7" t="s">
        <v>3654</v>
      </c>
      <c r="I42" s="7" t="s">
        <v>3655</v>
      </c>
      <c r="J42" s="7" t="s">
        <v>3426</v>
      </c>
      <c r="K42" s="7" t="s">
        <v>3492</v>
      </c>
      <c r="L42" s="11" t="str">
        <f>HYPERLINK("http://slimages.macys.com/is/image/MCY/12737864 ")</f>
        <v xml:space="preserve">http://slimages.macys.com/is/image/MCY/12737864 </v>
      </c>
    </row>
    <row r="43" spans="1:12" ht="39.950000000000003" customHeight="1" x14ac:dyDescent="0.25">
      <c r="A43" s="6" t="s">
        <v>133</v>
      </c>
      <c r="B43" s="7" t="s">
        <v>134</v>
      </c>
      <c r="C43" s="8">
        <v>1</v>
      </c>
      <c r="D43" s="9">
        <v>33.99</v>
      </c>
      <c r="E43" s="8" t="s">
        <v>135</v>
      </c>
      <c r="F43" s="7" t="s">
        <v>3496</v>
      </c>
      <c r="G43" s="10" t="s">
        <v>1456</v>
      </c>
      <c r="H43" s="7" t="s">
        <v>3490</v>
      </c>
      <c r="I43" s="7" t="s">
        <v>3943</v>
      </c>
      <c r="J43" s="7" t="s">
        <v>3426</v>
      </c>
      <c r="K43" s="7" t="s">
        <v>3518</v>
      </c>
      <c r="L43" s="11" t="str">
        <f>HYPERLINK("http://slimages.macys.com/is/image/MCY/16495481 ")</f>
        <v xml:space="preserve">http://slimages.macys.com/is/image/MCY/16495481 </v>
      </c>
    </row>
    <row r="44" spans="1:12" ht="39.950000000000003" customHeight="1" x14ac:dyDescent="0.25">
      <c r="A44" s="6" t="s">
        <v>1656</v>
      </c>
      <c r="B44" s="7" t="s">
        <v>1657</v>
      </c>
      <c r="C44" s="8">
        <v>1</v>
      </c>
      <c r="D44" s="9">
        <v>34.99</v>
      </c>
      <c r="E44" s="8" t="s">
        <v>4187</v>
      </c>
      <c r="F44" s="7" t="s">
        <v>3504</v>
      </c>
      <c r="G44" s="10"/>
      <c r="H44" s="7" t="s">
        <v>3452</v>
      </c>
      <c r="I44" s="7" t="s">
        <v>3453</v>
      </c>
      <c r="J44" s="7"/>
      <c r="K44" s="7"/>
      <c r="L44" s="11" t="str">
        <f>HYPERLINK("http://slimages.macys.com/is/image/MCY/17773190 ")</f>
        <v xml:space="preserve">http://slimages.macys.com/is/image/MCY/17773190 </v>
      </c>
    </row>
    <row r="45" spans="1:12" ht="39.950000000000003" customHeight="1" x14ac:dyDescent="0.25">
      <c r="A45" s="6" t="s">
        <v>136</v>
      </c>
      <c r="B45" s="7" t="s">
        <v>137</v>
      </c>
      <c r="C45" s="8">
        <v>1</v>
      </c>
      <c r="D45" s="9">
        <v>78.11</v>
      </c>
      <c r="E45" s="8" t="s">
        <v>138</v>
      </c>
      <c r="F45" s="7"/>
      <c r="G45" s="10"/>
      <c r="H45" s="7" t="s">
        <v>3635</v>
      </c>
      <c r="I45" s="7" t="s">
        <v>4183</v>
      </c>
      <c r="J45" s="7" t="s">
        <v>3426</v>
      </c>
      <c r="K45" s="7" t="s">
        <v>4206</v>
      </c>
      <c r="L45" s="11" t="str">
        <f>HYPERLINK("http://slimages.macys.com/is/image/MCY/807332 ")</f>
        <v xml:space="preserve">http://slimages.macys.com/is/image/MCY/807332 </v>
      </c>
    </row>
    <row r="46" spans="1:12" ht="39.950000000000003" customHeight="1" x14ac:dyDescent="0.25">
      <c r="A46" s="6" t="s">
        <v>139</v>
      </c>
      <c r="B46" s="7" t="s">
        <v>140</v>
      </c>
      <c r="C46" s="8">
        <v>1</v>
      </c>
      <c r="D46" s="9">
        <v>19.989999999999998</v>
      </c>
      <c r="E46" s="8">
        <v>50948</v>
      </c>
      <c r="F46" s="7" t="s">
        <v>3720</v>
      </c>
      <c r="G46" s="10"/>
      <c r="H46" s="7" t="s">
        <v>3490</v>
      </c>
      <c r="I46" s="7" t="s">
        <v>3649</v>
      </c>
      <c r="J46" s="7" t="s">
        <v>3426</v>
      </c>
      <c r="K46" s="7" t="s">
        <v>3518</v>
      </c>
      <c r="L46" s="11" t="str">
        <f>HYPERLINK("http://slimages.macys.com/is/image/MCY/12936575 ")</f>
        <v xml:space="preserve">http://slimages.macys.com/is/image/MCY/12936575 </v>
      </c>
    </row>
    <row r="47" spans="1:12" ht="39.950000000000003" customHeight="1" x14ac:dyDescent="0.25">
      <c r="A47" s="6" t="s">
        <v>141</v>
      </c>
      <c r="B47" s="7" t="s">
        <v>142</v>
      </c>
      <c r="C47" s="8">
        <v>1</v>
      </c>
      <c r="D47" s="9">
        <v>29.99</v>
      </c>
      <c r="E47" s="8" t="s">
        <v>143</v>
      </c>
      <c r="F47" s="7" t="s">
        <v>3445</v>
      </c>
      <c r="G47" s="10" t="s">
        <v>144</v>
      </c>
      <c r="H47" s="7" t="s">
        <v>3572</v>
      </c>
      <c r="I47" s="7" t="s">
        <v>3724</v>
      </c>
      <c r="J47" s="7" t="s">
        <v>3613</v>
      </c>
      <c r="K47" s="7" t="s">
        <v>145</v>
      </c>
      <c r="L47" s="11" t="str">
        <f>HYPERLINK("http://slimages.macys.com/is/image/MCY/9938529 ")</f>
        <v xml:space="preserve">http://slimages.macys.com/is/image/MCY/9938529 </v>
      </c>
    </row>
    <row r="48" spans="1:12" ht="39.950000000000003" customHeight="1" x14ac:dyDescent="0.25">
      <c r="A48" s="6" t="s">
        <v>146</v>
      </c>
      <c r="B48" s="7" t="s">
        <v>1880</v>
      </c>
      <c r="C48" s="8">
        <v>1</v>
      </c>
      <c r="D48" s="9">
        <v>15.99</v>
      </c>
      <c r="E48" s="8">
        <v>52448</v>
      </c>
      <c r="F48" s="7" t="s">
        <v>3445</v>
      </c>
      <c r="G48" s="10"/>
      <c r="H48" s="7" t="s">
        <v>3490</v>
      </c>
      <c r="I48" s="7" t="s">
        <v>3649</v>
      </c>
      <c r="J48" s="7" t="s">
        <v>3426</v>
      </c>
      <c r="K48" s="7" t="s">
        <v>147</v>
      </c>
      <c r="L48" s="11" t="str">
        <f>HYPERLINK("http://slimages.macys.com/is/image/MCY/16270435 ")</f>
        <v xml:space="preserve">http://slimages.macys.com/is/image/MCY/16270435 </v>
      </c>
    </row>
    <row r="49" spans="1:12" ht="39.950000000000003" customHeight="1" x14ac:dyDescent="0.25">
      <c r="A49" s="6" t="s">
        <v>148</v>
      </c>
      <c r="B49" s="7" t="s">
        <v>149</v>
      </c>
      <c r="C49" s="8">
        <v>1</v>
      </c>
      <c r="D49" s="9">
        <v>39.99</v>
      </c>
      <c r="E49" s="8" t="s">
        <v>150</v>
      </c>
      <c r="F49" s="7" t="s">
        <v>3445</v>
      </c>
      <c r="G49" s="10"/>
      <c r="H49" s="7" t="s">
        <v>3458</v>
      </c>
      <c r="I49" s="7" t="s">
        <v>3459</v>
      </c>
      <c r="J49" s="7" t="s">
        <v>3426</v>
      </c>
      <c r="K49" s="7" t="s">
        <v>1928</v>
      </c>
      <c r="L49" s="11" t="str">
        <f>HYPERLINK("http://slimages.macys.com/is/image/MCY/8484844 ")</f>
        <v xml:space="preserve">http://slimages.macys.com/is/image/MCY/8484844 </v>
      </c>
    </row>
    <row r="50" spans="1:12" ht="39.950000000000003" customHeight="1" x14ac:dyDescent="0.25">
      <c r="A50" s="6" t="s">
        <v>2573</v>
      </c>
      <c r="B50" s="7" t="s">
        <v>2574</v>
      </c>
      <c r="C50" s="8">
        <v>2</v>
      </c>
      <c r="D50" s="9">
        <v>33.979999999999997</v>
      </c>
      <c r="E50" s="8">
        <v>202007</v>
      </c>
      <c r="F50" s="7" t="s">
        <v>3445</v>
      </c>
      <c r="G50" s="10"/>
      <c r="H50" s="7" t="s">
        <v>3559</v>
      </c>
      <c r="I50" s="7" t="s">
        <v>2575</v>
      </c>
      <c r="J50" s="7" t="s">
        <v>3426</v>
      </c>
      <c r="K50" s="7" t="s">
        <v>2576</v>
      </c>
      <c r="L50" s="11" t="str">
        <f>HYPERLINK("http://slimages.macys.com/is/image/MCY/16053943 ")</f>
        <v xml:space="preserve">http://slimages.macys.com/is/image/MCY/16053943 </v>
      </c>
    </row>
    <row r="51" spans="1:12" ht="39.950000000000003" customHeight="1" x14ac:dyDescent="0.25">
      <c r="A51" s="6" t="s">
        <v>151</v>
      </c>
      <c r="B51" s="7" t="s">
        <v>152</v>
      </c>
      <c r="C51" s="8">
        <v>1</v>
      </c>
      <c r="D51" s="9">
        <v>14.99</v>
      </c>
      <c r="E51" s="8" t="s">
        <v>153</v>
      </c>
      <c r="F51" s="7" t="s">
        <v>3423</v>
      </c>
      <c r="G51" s="10" t="s">
        <v>4007</v>
      </c>
      <c r="H51" s="7" t="s">
        <v>3490</v>
      </c>
      <c r="I51" s="7" t="s">
        <v>4008</v>
      </c>
      <c r="J51" s="7"/>
      <c r="K51" s="7"/>
      <c r="L51" s="11" t="str">
        <f>HYPERLINK("http://slimages.macys.com/is/image/MCY/17620635 ")</f>
        <v xml:space="preserve">http://slimages.macys.com/is/image/MCY/17620635 </v>
      </c>
    </row>
    <row r="52" spans="1:12" ht="39.950000000000003" customHeight="1" x14ac:dyDescent="0.25">
      <c r="A52" s="6" t="s">
        <v>154</v>
      </c>
      <c r="B52" s="7" t="s">
        <v>155</v>
      </c>
      <c r="C52" s="8">
        <v>1</v>
      </c>
      <c r="D52" s="9">
        <v>39.99</v>
      </c>
      <c r="E52" s="8" t="s">
        <v>156</v>
      </c>
      <c r="F52" s="7" t="s">
        <v>3504</v>
      </c>
      <c r="G52" s="10"/>
      <c r="H52" s="7" t="s">
        <v>3458</v>
      </c>
      <c r="I52" s="7" t="s">
        <v>3459</v>
      </c>
      <c r="J52" s="7" t="s">
        <v>3426</v>
      </c>
      <c r="K52" s="7" t="s">
        <v>3485</v>
      </c>
      <c r="L52" s="11" t="str">
        <f>HYPERLINK("http://slimages.macys.com/is/image/MCY/11607139 ")</f>
        <v xml:space="preserve">http://slimages.macys.com/is/image/MCY/11607139 </v>
      </c>
    </row>
    <row r="53" spans="1:12" ht="39.950000000000003" customHeight="1" x14ac:dyDescent="0.25">
      <c r="A53" s="6" t="s">
        <v>157</v>
      </c>
      <c r="B53" s="7" t="s">
        <v>158</v>
      </c>
      <c r="C53" s="8">
        <v>1</v>
      </c>
      <c r="D53" s="9">
        <v>14.99</v>
      </c>
      <c r="E53" s="8" t="s">
        <v>159</v>
      </c>
      <c r="F53" s="7" t="s">
        <v>3511</v>
      </c>
      <c r="G53" s="10" t="s">
        <v>3653</v>
      </c>
      <c r="H53" s="7" t="s">
        <v>3654</v>
      </c>
      <c r="I53" s="7" t="s">
        <v>3724</v>
      </c>
      <c r="J53" s="7" t="s">
        <v>3426</v>
      </c>
      <c r="K53" s="7" t="s">
        <v>4251</v>
      </c>
      <c r="L53" s="11" t="str">
        <f>HYPERLINK("http://slimages.macys.com/is/image/MCY/11946722 ")</f>
        <v xml:space="preserve">http://slimages.macys.com/is/image/MCY/11946722 </v>
      </c>
    </row>
    <row r="54" spans="1:12" ht="39.950000000000003" customHeight="1" x14ac:dyDescent="0.25">
      <c r="A54" s="6" t="s">
        <v>160</v>
      </c>
      <c r="B54" s="7" t="s">
        <v>161</v>
      </c>
      <c r="C54" s="8">
        <v>4</v>
      </c>
      <c r="D54" s="9">
        <v>47.96</v>
      </c>
      <c r="E54" s="8" t="s">
        <v>162</v>
      </c>
      <c r="F54" s="7" t="s">
        <v>3687</v>
      </c>
      <c r="G54" s="10"/>
      <c r="H54" s="7" t="s">
        <v>3490</v>
      </c>
      <c r="I54" s="7" t="s">
        <v>2002</v>
      </c>
      <c r="J54" s="7" t="s">
        <v>3426</v>
      </c>
      <c r="K54" s="7" t="s">
        <v>3518</v>
      </c>
      <c r="L54" s="11" t="str">
        <f>HYPERLINK("http://slimages.macys.com/is/image/MCY/935272 ")</f>
        <v xml:space="preserve">http://slimages.macys.com/is/image/MCY/935272 </v>
      </c>
    </row>
    <row r="55" spans="1:12" ht="39.950000000000003" customHeight="1" x14ac:dyDescent="0.25">
      <c r="A55" s="6" t="s">
        <v>163</v>
      </c>
      <c r="B55" s="7" t="s">
        <v>164</v>
      </c>
      <c r="C55" s="8">
        <v>2</v>
      </c>
      <c r="D55" s="9">
        <v>21.98</v>
      </c>
      <c r="E55" s="8" t="s">
        <v>165</v>
      </c>
      <c r="F55" s="7" t="s">
        <v>3687</v>
      </c>
      <c r="G55" s="10"/>
      <c r="H55" s="7" t="s">
        <v>3490</v>
      </c>
      <c r="I55" s="7" t="s">
        <v>2002</v>
      </c>
      <c r="J55" s="7" t="s">
        <v>3426</v>
      </c>
      <c r="K55" s="7" t="s">
        <v>3518</v>
      </c>
      <c r="L55" s="11" t="str">
        <f>HYPERLINK("http://slimages.macys.com/is/image/MCY/935272 ")</f>
        <v xml:space="preserve">http://slimages.macys.com/is/image/MCY/935272 </v>
      </c>
    </row>
    <row r="56" spans="1:12" ht="39.950000000000003" customHeight="1" x14ac:dyDescent="0.25">
      <c r="A56" s="6" t="s">
        <v>166</v>
      </c>
      <c r="B56" s="7" t="s">
        <v>167</v>
      </c>
      <c r="C56" s="8">
        <v>2</v>
      </c>
      <c r="D56" s="9">
        <v>239.98</v>
      </c>
      <c r="E56" s="8" t="s">
        <v>168</v>
      </c>
      <c r="F56" s="7" t="s">
        <v>3445</v>
      </c>
      <c r="G56" s="10" t="s">
        <v>169</v>
      </c>
      <c r="H56" s="7" t="s">
        <v>3490</v>
      </c>
      <c r="I56" s="7" t="s">
        <v>1127</v>
      </c>
      <c r="J56" s="7"/>
      <c r="K56" s="7"/>
      <c r="L56" s="11"/>
    </row>
    <row r="57" spans="1:12" ht="39.950000000000003" customHeight="1" x14ac:dyDescent="0.25">
      <c r="A57" s="6" t="s">
        <v>3667</v>
      </c>
      <c r="B57" s="7" t="s">
        <v>3668</v>
      </c>
      <c r="C57" s="8">
        <v>12</v>
      </c>
      <c r="D57" s="9">
        <v>480</v>
      </c>
      <c r="E57" s="8"/>
      <c r="F57" s="7" t="s">
        <v>3610</v>
      </c>
      <c r="G57" s="10" t="s">
        <v>3489</v>
      </c>
      <c r="H57" s="7" t="s">
        <v>3669</v>
      </c>
      <c r="I57" s="7" t="s">
        <v>3670</v>
      </c>
      <c r="J57" s="7"/>
      <c r="K57" s="7"/>
      <c r="L57" s="11"/>
    </row>
    <row r="58" spans="1:12" ht="39.950000000000003" customHeight="1" x14ac:dyDescent="0.25">
      <c r="A58" s="6" t="s">
        <v>170</v>
      </c>
      <c r="B58" s="7" t="s">
        <v>171</v>
      </c>
      <c r="C58" s="8">
        <v>1</v>
      </c>
      <c r="D58" s="9">
        <v>19.989999999999998</v>
      </c>
      <c r="E58" s="8" t="s">
        <v>172</v>
      </c>
      <c r="F58" s="7" t="s">
        <v>4096</v>
      </c>
      <c r="G58" s="10" t="s">
        <v>173</v>
      </c>
      <c r="H58" s="7" t="s">
        <v>3542</v>
      </c>
      <c r="I58" s="7" t="s">
        <v>2969</v>
      </c>
      <c r="J58" s="7"/>
      <c r="K58" s="7"/>
      <c r="L58" s="11"/>
    </row>
  </sheetData>
  <phoneticPr fontId="0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174</v>
      </c>
      <c r="B2" s="7" t="s">
        <v>1218</v>
      </c>
      <c r="C2" s="8">
        <v>1</v>
      </c>
      <c r="D2" s="9">
        <v>239.99</v>
      </c>
      <c r="E2" s="8" t="s">
        <v>175</v>
      </c>
      <c r="F2" s="7" t="s">
        <v>3477</v>
      </c>
      <c r="G2" s="10"/>
      <c r="H2" s="7" t="s">
        <v>3688</v>
      </c>
      <c r="I2" s="7" t="s">
        <v>3871</v>
      </c>
      <c r="J2" s="7" t="s">
        <v>3426</v>
      </c>
      <c r="K2" s="7" t="s">
        <v>3518</v>
      </c>
      <c r="L2" s="11" t="str">
        <f>HYPERLINK("http://slimages.macys.com/is/image/MCY/1611451 ")</f>
        <v xml:space="preserve">http://slimages.macys.com/is/image/MCY/1611451 </v>
      </c>
    </row>
    <row r="3" spans="1:12" ht="39.950000000000003" customHeight="1" x14ac:dyDescent="0.25">
      <c r="A3" s="6" t="s">
        <v>176</v>
      </c>
      <c r="B3" s="7" t="s">
        <v>177</v>
      </c>
      <c r="C3" s="8">
        <v>1</v>
      </c>
      <c r="D3" s="9">
        <v>159.99</v>
      </c>
      <c r="E3" s="8" t="s">
        <v>178</v>
      </c>
      <c r="F3" s="7" t="s">
        <v>3477</v>
      </c>
      <c r="G3" s="10"/>
      <c r="H3" s="7" t="s">
        <v>3424</v>
      </c>
      <c r="I3" s="7" t="s">
        <v>1811</v>
      </c>
      <c r="J3" s="7"/>
      <c r="K3" s="7"/>
      <c r="L3" s="11" t="str">
        <f>HYPERLINK("http://slimages.macys.com/is/image/MCY/17964217 ")</f>
        <v xml:space="preserve">http://slimages.macys.com/is/image/MCY/17964217 </v>
      </c>
    </row>
    <row r="4" spans="1:12" ht="39.950000000000003" customHeight="1" x14ac:dyDescent="0.25">
      <c r="A4" s="6" t="s">
        <v>179</v>
      </c>
      <c r="B4" s="7" t="s">
        <v>180</v>
      </c>
      <c r="C4" s="8">
        <v>1</v>
      </c>
      <c r="D4" s="9">
        <v>139.99</v>
      </c>
      <c r="E4" s="8" t="s">
        <v>181</v>
      </c>
      <c r="F4" s="7" t="s">
        <v>3463</v>
      </c>
      <c r="G4" s="10"/>
      <c r="H4" s="7" t="s">
        <v>3559</v>
      </c>
      <c r="I4" s="7" t="s">
        <v>3777</v>
      </c>
      <c r="J4" s="7" t="s">
        <v>3426</v>
      </c>
      <c r="K4" s="7" t="s">
        <v>2212</v>
      </c>
      <c r="L4" s="11" t="str">
        <f>HYPERLINK("http://slimages.macys.com/is/image/MCY/16125939 ")</f>
        <v xml:space="preserve">http://slimages.macys.com/is/image/MCY/16125939 </v>
      </c>
    </row>
    <row r="5" spans="1:12" ht="39.950000000000003" customHeight="1" x14ac:dyDescent="0.25">
      <c r="A5" s="6" t="s">
        <v>182</v>
      </c>
      <c r="B5" s="7" t="s">
        <v>183</v>
      </c>
      <c r="C5" s="8">
        <v>1</v>
      </c>
      <c r="D5" s="9">
        <v>149.99</v>
      </c>
      <c r="E5" s="8" t="s">
        <v>184</v>
      </c>
      <c r="F5" s="7" t="s">
        <v>3451</v>
      </c>
      <c r="G5" s="10"/>
      <c r="H5" s="7" t="s">
        <v>3688</v>
      </c>
      <c r="I5" s="7" t="s">
        <v>185</v>
      </c>
      <c r="J5" s="7" t="s">
        <v>3426</v>
      </c>
      <c r="K5" s="7" t="s">
        <v>3811</v>
      </c>
      <c r="L5" s="11" t="str">
        <f>HYPERLINK("http://slimages.macys.com/is/image/MCY/14737536 ")</f>
        <v xml:space="preserve">http://slimages.macys.com/is/image/MCY/14737536 </v>
      </c>
    </row>
    <row r="6" spans="1:12" ht="39.950000000000003" customHeight="1" x14ac:dyDescent="0.25">
      <c r="A6" s="6" t="s">
        <v>186</v>
      </c>
      <c r="B6" s="7" t="s">
        <v>187</v>
      </c>
      <c r="C6" s="8">
        <v>1</v>
      </c>
      <c r="D6" s="9">
        <v>139.99</v>
      </c>
      <c r="E6" s="8" t="s">
        <v>188</v>
      </c>
      <c r="F6" s="7" t="s">
        <v>3463</v>
      </c>
      <c r="G6" s="10"/>
      <c r="H6" s="7" t="s">
        <v>3478</v>
      </c>
      <c r="I6" s="7" t="s">
        <v>3553</v>
      </c>
      <c r="J6" s="7" t="s">
        <v>3426</v>
      </c>
      <c r="K6" s="7" t="s">
        <v>189</v>
      </c>
      <c r="L6" s="11" t="str">
        <f>HYPERLINK("http://slimages.macys.com/is/image/MCY/9627855 ")</f>
        <v xml:space="preserve">http://slimages.macys.com/is/image/MCY/9627855 </v>
      </c>
    </row>
    <row r="7" spans="1:12" ht="39.950000000000003" customHeight="1" x14ac:dyDescent="0.25">
      <c r="A7" s="6" t="s">
        <v>190</v>
      </c>
      <c r="B7" s="7" t="s">
        <v>191</v>
      </c>
      <c r="C7" s="8">
        <v>1</v>
      </c>
      <c r="D7" s="9">
        <v>159.99</v>
      </c>
      <c r="E7" s="8" t="s">
        <v>192</v>
      </c>
      <c r="F7" s="7" t="s">
        <v>3445</v>
      </c>
      <c r="G7" s="10"/>
      <c r="H7" s="7" t="s">
        <v>3572</v>
      </c>
      <c r="I7" s="7" t="s">
        <v>1697</v>
      </c>
      <c r="J7" s="7" t="s">
        <v>3426</v>
      </c>
      <c r="K7" s="7" t="s">
        <v>193</v>
      </c>
      <c r="L7" s="11" t="str">
        <f>HYPERLINK("http://slimages.macys.com/is/image/MCY/12072133 ")</f>
        <v xml:space="preserve">http://slimages.macys.com/is/image/MCY/12072133 </v>
      </c>
    </row>
    <row r="8" spans="1:12" ht="39.950000000000003" customHeight="1" x14ac:dyDescent="0.25">
      <c r="A8" s="6" t="s">
        <v>194</v>
      </c>
      <c r="B8" s="7" t="s">
        <v>195</v>
      </c>
      <c r="C8" s="8">
        <v>1</v>
      </c>
      <c r="D8" s="9">
        <v>144.99</v>
      </c>
      <c r="E8" s="8" t="s">
        <v>196</v>
      </c>
      <c r="F8" s="7" t="s">
        <v>3484</v>
      </c>
      <c r="G8" s="10"/>
      <c r="H8" s="7" t="s">
        <v>3559</v>
      </c>
      <c r="I8" s="7" t="s">
        <v>3777</v>
      </c>
      <c r="J8" s="7" t="s">
        <v>3426</v>
      </c>
      <c r="K8" s="7" t="s">
        <v>2212</v>
      </c>
      <c r="L8" s="11" t="str">
        <f>HYPERLINK("http://slimages.macys.com/is/image/MCY/15208798 ")</f>
        <v xml:space="preserve">http://slimages.macys.com/is/image/MCY/15208798 </v>
      </c>
    </row>
    <row r="9" spans="1:12" ht="39.950000000000003" customHeight="1" x14ac:dyDescent="0.25">
      <c r="A9" s="6" t="s">
        <v>197</v>
      </c>
      <c r="B9" s="7" t="s">
        <v>198</v>
      </c>
      <c r="C9" s="8">
        <v>1</v>
      </c>
      <c r="D9" s="9">
        <v>119.99</v>
      </c>
      <c r="E9" s="8" t="s">
        <v>199</v>
      </c>
      <c r="F9" s="7" t="s">
        <v>3445</v>
      </c>
      <c r="G9" s="10"/>
      <c r="H9" s="7" t="s">
        <v>3458</v>
      </c>
      <c r="I9" s="7" t="s">
        <v>200</v>
      </c>
      <c r="J9" s="7" t="s">
        <v>3426</v>
      </c>
      <c r="K9" s="7"/>
      <c r="L9" s="11" t="str">
        <f>HYPERLINK("http://slimages.macys.com/is/image/MCY/10015969 ")</f>
        <v xml:space="preserve">http://slimages.macys.com/is/image/MCY/10015969 </v>
      </c>
    </row>
    <row r="10" spans="1:12" ht="39.950000000000003" customHeight="1" x14ac:dyDescent="0.25">
      <c r="A10" s="6" t="s">
        <v>201</v>
      </c>
      <c r="B10" s="7" t="s">
        <v>202</v>
      </c>
      <c r="C10" s="8">
        <v>1</v>
      </c>
      <c r="D10" s="9">
        <v>99.99</v>
      </c>
      <c r="E10" s="8" t="s">
        <v>203</v>
      </c>
      <c r="F10" s="7" t="s">
        <v>3423</v>
      </c>
      <c r="G10" s="10"/>
      <c r="H10" s="7" t="s">
        <v>3424</v>
      </c>
      <c r="I10" s="7" t="s">
        <v>4104</v>
      </c>
      <c r="J10" s="7"/>
      <c r="K10" s="7"/>
      <c r="L10" s="11" t="str">
        <f>HYPERLINK("http://slimages.macys.com/is/image/MCY/17936753 ")</f>
        <v xml:space="preserve">http://slimages.macys.com/is/image/MCY/17936753 </v>
      </c>
    </row>
    <row r="11" spans="1:12" ht="39.950000000000003" customHeight="1" x14ac:dyDescent="0.25">
      <c r="A11" s="6" t="s">
        <v>204</v>
      </c>
      <c r="B11" s="7" t="s">
        <v>205</v>
      </c>
      <c r="C11" s="8">
        <v>1</v>
      </c>
      <c r="D11" s="9">
        <v>109.99</v>
      </c>
      <c r="E11" s="8" t="s">
        <v>206</v>
      </c>
      <c r="F11" s="7" t="s">
        <v>4304</v>
      </c>
      <c r="G11" s="10"/>
      <c r="H11" s="7" t="s">
        <v>3458</v>
      </c>
      <c r="I11" s="7" t="s">
        <v>3459</v>
      </c>
      <c r="J11" s="7" t="s">
        <v>3426</v>
      </c>
      <c r="K11" s="7"/>
      <c r="L11" s="11" t="str">
        <f>HYPERLINK("http://slimages.macys.com/is/image/MCY/11534834 ")</f>
        <v xml:space="preserve">http://slimages.macys.com/is/image/MCY/11534834 </v>
      </c>
    </row>
    <row r="12" spans="1:12" ht="39.950000000000003" customHeight="1" x14ac:dyDescent="0.25">
      <c r="A12" s="6" t="s">
        <v>207</v>
      </c>
      <c r="B12" s="7" t="s">
        <v>208</v>
      </c>
      <c r="C12" s="8">
        <v>1</v>
      </c>
      <c r="D12" s="9">
        <v>129.99</v>
      </c>
      <c r="E12" s="8" t="s">
        <v>209</v>
      </c>
      <c r="F12" s="7" t="s">
        <v>3451</v>
      </c>
      <c r="G12" s="10"/>
      <c r="H12" s="7" t="s">
        <v>3458</v>
      </c>
      <c r="I12" s="7" t="s">
        <v>3459</v>
      </c>
      <c r="J12" s="7" t="s">
        <v>3426</v>
      </c>
      <c r="K12" s="7" t="s">
        <v>3556</v>
      </c>
      <c r="L12" s="11" t="str">
        <f>HYPERLINK("http://slimages.macys.com/is/image/MCY/11607139 ")</f>
        <v xml:space="preserve">http://slimages.macys.com/is/image/MCY/11607139 </v>
      </c>
    </row>
    <row r="13" spans="1:12" ht="39.950000000000003" customHeight="1" x14ac:dyDescent="0.25">
      <c r="A13" s="6" t="s">
        <v>210</v>
      </c>
      <c r="B13" s="7" t="s">
        <v>211</v>
      </c>
      <c r="C13" s="8">
        <v>1</v>
      </c>
      <c r="D13" s="9">
        <v>82.99</v>
      </c>
      <c r="E13" s="8" t="s">
        <v>212</v>
      </c>
      <c r="F13" s="7" t="s">
        <v>3541</v>
      </c>
      <c r="G13" s="10"/>
      <c r="H13" s="7" t="s">
        <v>3635</v>
      </c>
      <c r="I13" s="7" t="s">
        <v>213</v>
      </c>
      <c r="J13" s="7" t="s">
        <v>3426</v>
      </c>
      <c r="K13" s="7" t="s">
        <v>214</v>
      </c>
      <c r="L13" s="11" t="str">
        <f>HYPERLINK("http://slimages.macys.com/is/image/MCY/11520809 ")</f>
        <v xml:space="preserve">http://slimages.macys.com/is/image/MCY/11520809 </v>
      </c>
    </row>
    <row r="14" spans="1:12" ht="39.950000000000003" customHeight="1" x14ac:dyDescent="0.25">
      <c r="A14" s="6" t="s">
        <v>215</v>
      </c>
      <c r="B14" s="7" t="s">
        <v>216</v>
      </c>
      <c r="C14" s="8">
        <v>1</v>
      </c>
      <c r="D14" s="9">
        <v>79.989999999999995</v>
      </c>
      <c r="E14" s="8" t="s">
        <v>217</v>
      </c>
      <c r="F14" s="7" t="s">
        <v>3463</v>
      </c>
      <c r="G14" s="10"/>
      <c r="H14" s="7" t="s">
        <v>3424</v>
      </c>
      <c r="I14" s="7" t="s">
        <v>864</v>
      </c>
      <c r="J14" s="7"/>
      <c r="K14" s="7"/>
      <c r="L14" s="11" t="str">
        <f>HYPERLINK("http://slimages.macys.com/is/image/MCY/17150430 ")</f>
        <v xml:space="preserve">http://slimages.macys.com/is/image/MCY/17150430 </v>
      </c>
    </row>
    <row r="15" spans="1:12" ht="39.950000000000003" customHeight="1" x14ac:dyDescent="0.25">
      <c r="A15" s="6" t="s">
        <v>218</v>
      </c>
      <c r="B15" s="7" t="s">
        <v>219</v>
      </c>
      <c r="C15" s="8">
        <v>1</v>
      </c>
      <c r="D15" s="9">
        <v>79.989999999999995</v>
      </c>
      <c r="E15" s="8" t="s">
        <v>220</v>
      </c>
      <c r="F15" s="7" t="s">
        <v>4101</v>
      </c>
      <c r="G15" s="10"/>
      <c r="H15" s="7" t="s">
        <v>3424</v>
      </c>
      <c r="I15" s="7" t="s">
        <v>3067</v>
      </c>
      <c r="J15" s="7"/>
      <c r="K15" s="7"/>
      <c r="L15" s="11" t="str">
        <f>HYPERLINK("http://slimages.macys.com/is/image/MCY/17150275 ")</f>
        <v xml:space="preserve">http://slimages.macys.com/is/image/MCY/17150275 </v>
      </c>
    </row>
    <row r="16" spans="1:12" ht="39.950000000000003" customHeight="1" x14ac:dyDescent="0.25">
      <c r="A16" s="6" t="s">
        <v>221</v>
      </c>
      <c r="B16" s="7" t="s">
        <v>222</v>
      </c>
      <c r="C16" s="8">
        <v>1</v>
      </c>
      <c r="D16" s="9">
        <v>79.989999999999995</v>
      </c>
      <c r="E16" s="8" t="s">
        <v>223</v>
      </c>
      <c r="F16" s="7" t="s">
        <v>4167</v>
      </c>
      <c r="G16" s="10"/>
      <c r="H16" s="7" t="s">
        <v>3424</v>
      </c>
      <c r="I16" s="7" t="s">
        <v>864</v>
      </c>
      <c r="J16" s="7" t="s">
        <v>3426</v>
      </c>
      <c r="K16" s="7" t="s">
        <v>3556</v>
      </c>
      <c r="L16" s="11" t="str">
        <f>HYPERLINK("http://slimages.macys.com/is/image/MCY/15909793 ")</f>
        <v xml:space="preserve">http://slimages.macys.com/is/image/MCY/15909793 </v>
      </c>
    </row>
    <row r="17" spans="1:12" ht="39.950000000000003" customHeight="1" x14ac:dyDescent="0.25">
      <c r="A17" s="6" t="s">
        <v>844</v>
      </c>
      <c r="B17" s="7" t="s">
        <v>845</v>
      </c>
      <c r="C17" s="8">
        <v>1</v>
      </c>
      <c r="D17" s="9">
        <v>101.99</v>
      </c>
      <c r="E17" s="8">
        <v>2011300001</v>
      </c>
      <c r="F17" s="7" t="s">
        <v>3445</v>
      </c>
      <c r="G17" s="10" t="s">
        <v>3512</v>
      </c>
      <c r="H17" s="7" t="s">
        <v>3490</v>
      </c>
      <c r="I17" s="7" t="s">
        <v>3744</v>
      </c>
      <c r="J17" s="7"/>
      <c r="K17" s="7"/>
      <c r="L17" s="11" t="str">
        <f>HYPERLINK("http://slimages.macys.com/is/image/MCY/17042697 ")</f>
        <v xml:space="preserve">http://slimages.macys.com/is/image/MCY/17042697 </v>
      </c>
    </row>
    <row r="18" spans="1:12" ht="39.950000000000003" customHeight="1" x14ac:dyDescent="0.25">
      <c r="A18" s="6" t="s">
        <v>224</v>
      </c>
      <c r="B18" s="7" t="s">
        <v>225</v>
      </c>
      <c r="C18" s="8">
        <v>1</v>
      </c>
      <c r="D18" s="9">
        <v>59.99</v>
      </c>
      <c r="E18" s="8" t="s">
        <v>226</v>
      </c>
      <c r="F18" s="7" t="s">
        <v>3445</v>
      </c>
      <c r="G18" s="10"/>
      <c r="H18" s="7" t="s">
        <v>3542</v>
      </c>
      <c r="I18" s="7" t="s">
        <v>4234</v>
      </c>
      <c r="J18" s="7"/>
      <c r="K18" s="7"/>
      <c r="L18" s="11" t="str">
        <f>HYPERLINK("http://slimages.macys.com/is/image/MCY/17822518 ")</f>
        <v xml:space="preserve">http://slimages.macys.com/is/image/MCY/17822518 </v>
      </c>
    </row>
    <row r="19" spans="1:12" ht="39.950000000000003" customHeight="1" x14ac:dyDescent="0.25">
      <c r="A19" s="6" t="s">
        <v>227</v>
      </c>
      <c r="B19" s="7" t="s">
        <v>228</v>
      </c>
      <c r="C19" s="8">
        <v>1</v>
      </c>
      <c r="D19" s="9">
        <v>62.99</v>
      </c>
      <c r="E19" s="8" t="s">
        <v>229</v>
      </c>
      <c r="F19" s="7" t="s">
        <v>3445</v>
      </c>
      <c r="G19" s="10"/>
      <c r="H19" s="7" t="s">
        <v>3559</v>
      </c>
      <c r="I19" s="7" t="s">
        <v>230</v>
      </c>
      <c r="J19" s="7" t="s">
        <v>3426</v>
      </c>
      <c r="K19" s="7" t="s">
        <v>4300</v>
      </c>
      <c r="L19" s="11" t="str">
        <f>HYPERLINK("http://slimages.macys.com/is/image/MCY/13767779 ")</f>
        <v xml:space="preserve">http://slimages.macys.com/is/image/MCY/13767779 </v>
      </c>
    </row>
    <row r="20" spans="1:12" ht="39.950000000000003" customHeight="1" x14ac:dyDescent="0.25">
      <c r="A20" s="6" t="s">
        <v>231</v>
      </c>
      <c r="B20" s="7" t="s">
        <v>232</v>
      </c>
      <c r="C20" s="8">
        <v>1</v>
      </c>
      <c r="D20" s="9">
        <v>55.99</v>
      </c>
      <c r="E20" s="8" t="s">
        <v>233</v>
      </c>
      <c r="F20" s="7" t="s">
        <v>4096</v>
      </c>
      <c r="G20" s="10"/>
      <c r="H20" s="7" t="s">
        <v>3583</v>
      </c>
      <c r="I20" s="7" t="s">
        <v>234</v>
      </c>
      <c r="J20" s="7" t="s">
        <v>3426</v>
      </c>
      <c r="K20" s="7" t="s">
        <v>3556</v>
      </c>
      <c r="L20" s="11" t="str">
        <f>HYPERLINK("http://slimages.macys.com/is/image/MCY/14977829 ")</f>
        <v xml:space="preserve">http://slimages.macys.com/is/image/MCY/14977829 </v>
      </c>
    </row>
    <row r="21" spans="1:12" ht="39.950000000000003" customHeight="1" x14ac:dyDescent="0.25">
      <c r="A21" s="6" t="s">
        <v>4327</v>
      </c>
      <c r="B21" s="7" t="s">
        <v>4328</v>
      </c>
      <c r="C21" s="8">
        <v>1</v>
      </c>
      <c r="D21" s="9">
        <v>49.99</v>
      </c>
      <c r="E21" s="8" t="s">
        <v>4329</v>
      </c>
      <c r="F21" s="7" t="s">
        <v>3445</v>
      </c>
      <c r="G21" s="10"/>
      <c r="H21" s="7" t="s">
        <v>3478</v>
      </c>
      <c r="I21" s="7" t="s">
        <v>3517</v>
      </c>
      <c r="J21" s="7" t="s">
        <v>3426</v>
      </c>
      <c r="K21" s="7" t="s">
        <v>3592</v>
      </c>
      <c r="L21" s="11" t="str">
        <f>HYPERLINK("http://slimages.macys.com/is/image/MCY/9330026 ")</f>
        <v xml:space="preserve">http://slimages.macys.com/is/image/MCY/9330026 </v>
      </c>
    </row>
    <row r="22" spans="1:12" ht="39.950000000000003" customHeight="1" x14ac:dyDescent="0.25">
      <c r="A22" s="6" t="s">
        <v>235</v>
      </c>
      <c r="B22" s="7" t="s">
        <v>236</v>
      </c>
      <c r="C22" s="8">
        <v>1</v>
      </c>
      <c r="D22" s="9">
        <v>49.99</v>
      </c>
      <c r="E22" s="8">
        <v>20553222</v>
      </c>
      <c r="F22" s="7"/>
      <c r="G22" s="10"/>
      <c r="H22" s="7" t="s">
        <v>3478</v>
      </c>
      <c r="I22" s="7" t="s">
        <v>3517</v>
      </c>
      <c r="J22" s="7" t="s">
        <v>3613</v>
      </c>
      <c r="K22" s="7" t="s">
        <v>3592</v>
      </c>
      <c r="L22" s="11" t="str">
        <f>HYPERLINK("http://slimages.macys.com/is/image/MCY/11707586 ")</f>
        <v xml:space="preserve">http://slimages.macys.com/is/image/MCY/11707586 </v>
      </c>
    </row>
    <row r="23" spans="1:12" ht="39.950000000000003" customHeight="1" x14ac:dyDescent="0.25">
      <c r="A23" s="6" t="s">
        <v>237</v>
      </c>
      <c r="B23" s="7" t="s">
        <v>238</v>
      </c>
      <c r="C23" s="8">
        <v>1</v>
      </c>
      <c r="D23" s="9">
        <v>49.99</v>
      </c>
      <c r="E23" s="8">
        <v>21454222</v>
      </c>
      <c r="F23" s="7" t="s">
        <v>7</v>
      </c>
      <c r="G23" s="10"/>
      <c r="H23" s="7" t="s">
        <v>3478</v>
      </c>
      <c r="I23" s="7" t="s">
        <v>3517</v>
      </c>
      <c r="J23" s="7" t="s">
        <v>3426</v>
      </c>
      <c r="K23" s="7" t="s">
        <v>3518</v>
      </c>
      <c r="L23" s="11" t="str">
        <f>HYPERLINK("http://slimages.macys.com/is/image/MCY/14634045 ")</f>
        <v xml:space="preserve">http://slimages.macys.com/is/image/MCY/14634045 </v>
      </c>
    </row>
    <row r="24" spans="1:12" ht="39.950000000000003" customHeight="1" x14ac:dyDescent="0.25">
      <c r="A24" s="6" t="s">
        <v>239</v>
      </c>
      <c r="B24" s="7" t="s">
        <v>240</v>
      </c>
      <c r="C24" s="8">
        <v>1</v>
      </c>
      <c r="D24" s="9">
        <v>49.99</v>
      </c>
      <c r="E24" s="8">
        <v>20553122</v>
      </c>
      <c r="F24" s="7"/>
      <c r="G24" s="10"/>
      <c r="H24" s="7" t="s">
        <v>3478</v>
      </c>
      <c r="I24" s="7" t="s">
        <v>3517</v>
      </c>
      <c r="J24" s="7" t="s">
        <v>3613</v>
      </c>
      <c r="K24" s="7" t="s">
        <v>3592</v>
      </c>
      <c r="L24" s="11" t="str">
        <f>HYPERLINK("http://slimages.macys.com/is/image/MCY/11707586 ")</f>
        <v xml:space="preserve">http://slimages.macys.com/is/image/MCY/11707586 </v>
      </c>
    </row>
    <row r="25" spans="1:12" ht="39.950000000000003" customHeight="1" x14ac:dyDescent="0.25">
      <c r="A25" s="6" t="s">
        <v>241</v>
      </c>
      <c r="B25" s="7" t="s">
        <v>242</v>
      </c>
      <c r="C25" s="8">
        <v>1</v>
      </c>
      <c r="D25" s="9">
        <v>59.99</v>
      </c>
      <c r="E25" s="8" t="s">
        <v>243</v>
      </c>
      <c r="F25" s="7" t="s">
        <v>3423</v>
      </c>
      <c r="G25" s="10"/>
      <c r="H25" s="7" t="s">
        <v>3467</v>
      </c>
      <c r="I25" s="7" t="s">
        <v>4333</v>
      </c>
      <c r="J25" s="7" t="s">
        <v>3426</v>
      </c>
      <c r="K25" s="7" t="s">
        <v>4251</v>
      </c>
      <c r="L25" s="11" t="str">
        <f>HYPERLINK("http://slimages.macys.com/is/image/MCY/13949182 ")</f>
        <v xml:space="preserve">http://slimages.macys.com/is/image/MCY/13949182 </v>
      </c>
    </row>
    <row r="26" spans="1:12" ht="39.950000000000003" customHeight="1" x14ac:dyDescent="0.25">
      <c r="A26" s="6" t="s">
        <v>244</v>
      </c>
      <c r="B26" s="7" t="s">
        <v>245</v>
      </c>
      <c r="C26" s="8">
        <v>1</v>
      </c>
      <c r="D26" s="9">
        <v>69.989999999999995</v>
      </c>
      <c r="E26" s="8" t="s">
        <v>246</v>
      </c>
      <c r="F26" s="7" t="s">
        <v>3445</v>
      </c>
      <c r="G26" s="10"/>
      <c r="H26" s="7" t="s">
        <v>3525</v>
      </c>
      <c r="I26" s="7" t="s">
        <v>3526</v>
      </c>
      <c r="J26" s="7" t="s">
        <v>3564</v>
      </c>
      <c r="K26" s="7" t="s">
        <v>2684</v>
      </c>
      <c r="L26" s="11" t="str">
        <f>HYPERLINK("http://slimages.macys.com/is/image/MCY/13368359 ")</f>
        <v xml:space="preserve">http://slimages.macys.com/is/image/MCY/13368359 </v>
      </c>
    </row>
    <row r="27" spans="1:12" ht="39.950000000000003" customHeight="1" x14ac:dyDescent="0.25">
      <c r="A27" s="6" t="s">
        <v>247</v>
      </c>
      <c r="B27" s="7" t="s">
        <v>248</v>
      </c>
      <c r="C27" s="8">
        <v>1</v>
      </c>
      <c r="D27" s="9">
        <v>55.99</v>
      </c>
      <c r="E27" s="8" t="s">
        <v>249</v>
      </c>
      <c r="F27" s="7" t="s">
        <v>3463</v>
      </c>
      <c r="G27" s="10" t="s">
        <v>3512</v>
      </c>
      <c r="H27" s="7" t="s">
        <v>3490</v>
      </c>
      <c r="I27" s="7" t="s">
        <v>250</v>
      </c>
      <c r="J27" s="7" t="s">
        <v>3426</v>
      </c>
      <c r="K27" s="7" t="s">
        <v>3492</v>
      </c>
      <c r="L27" s="11" t="str">
        <f>HYPERLINK("http://slimages.macys.com/is/image/MCY/12262443 ")</f>
        <v xml:space="preserve">http://slimages.macys.com/is/image/MCY/12262443 </v>
      </c>
    </row>
    <row r="28" spans="1:12" ht="39.950000000000003" customHeight="1" x14ac:dyDescent="0.25">
      <c r="A28" s="6" t="s">
        <v>251</v>
      </c>
      <c r="B28" s="7" t="s">
        <v>252</v>
      </c>
      <c r="C28" s="8">
        <v>1</v>
      </c>
      <c r="D28" s="9">
        <v>69.989999999999995</v>
      </c>
      <c r="E28" s="8" t="s">
        <v>253</v>
      </c>
      <c r="F28" s="7" t="s">
        <v>3445</v>
      </c>
      <c r="G28" s="10" t="s">
        <v>1643</v>
      </c>
      <c r="H28" s="7" t="s">
        <v>3440</v>
      </c>
      <c r="I28" s="7" t="s">
        <v>3683</v>
      </c>
      <c r="J28" s="7"/>
      <c r="K28" s="7"/>
      <c r="L28" s="11" t="str">
        <f>HYPERLINK("http://slimages.macys.com/is/image/MCY/18173219 ")</f>
        <v xml:space="preserve">http://slimages.macys.com/is/image/MCY/18173219 </v>
      </c>
    </row>
    <row r="29" spans="1:12" ht="39.950000000000003" customHeight="1" x14ac:dyDescent="0.25">
      <c r="A29" s="6" t="s">
        <v>254</v>
      </c>
      <c r="B29" s="7" t="s">
        <v>255</v>
      </c>
      <c r="C29" s="8">
        <v>1</v>
      </c>
      <c r="D29" s="9">
        <v>42.99</v>
      </c>
      <c r="E29" s="8" t="s">
        <v>256</v>
      </c>
      <c r="F29" s="7" t="s">
        <v>3804</v>
      </c>
      <c r="G29" s="10"/>
      <c r="H29" s="7" t="s">
        <v>3432</v>
      </c>
      <c r="I29" s="7" t="s">
        <v>3972</v>
      </c>
      <c r="J29" s="7" t="s">
        <v>3426</v>
      </c>
      <c r="K29" s="7" t="s">
        <v>3492</v>
      </c>
      <c r="L29" s="11" t="str">
        <f>HYPERLINK("http://slimages.macys.com/is/image/MCY/11940413 ")</f>
        <v xml:space="preserve">http://slimages.macys.com/is/image/MCY/11940413 </v>
      </c>
    </row>
    <row r="30" spans="1:12" ht="39.950000000000003" customHeight="1" x14ac:dyDescent="0.25">
      <c r="A30" s="6" t="s">
        <v>257</v>
      </c>
      <c r="B30" s="7" t="s">
        <v>258</v>
      </c>
      <c r="C30" s="8">
        <v>1</v>
      </c>
      <c r="D30" s="9">
        <v>39.99</v>
      </c>
      <c r="E30" s="8" t="s">
        <v>259</v>
      </c>
      <c r="F30" s="7" t="s">
        <v>3496</v>
      </c>
      <c r="G30" s="10"/>
      <c r="H30" s="7" t="s">
        <v>3583</v>
      </c>
      <c r="I30" s="7" t="s">
        <v>3553</v>
      </c>
      <c r="J30" s="7" t="s">
        <v>3426</v>
      </c>
      <c r="K30" s="7" t="s">
        <v>260</v>
      </c>
      <c r="L30" s="11" t="str">
        <f>HYPERLINK("http://slimages.macys.com/is/image/MCY/10044164 ")</f>
        <v xml:space="preserve">http://slimages.macys.com/is/image/MCY/10044164 </v>
      </c>
    </row>
    <row r="31" spans="1:12" ht="39.950000000000003" customHeight="1" x14ac:dyDescent="0.25">
      <c r="A31" s="6" t="s">
        <v>261</v>
      </c>
      <c r="B31" s="7" t="s">
        <v>262</v>
      </c>
      <c r="C31" s="8">
        <v>1</v>
      </c>
      <c r="D31" s="9">
        <v>54.99</v>
      </c>
      <c r="E31" s="8">
        <v>53055</v>
      </c>
      <c r="F31" s="7" t="s">
        <v>3720</v>
      </c>
      <c r="G31" s="10"/>
      <c r="H31" s="7" t="s">
        <v>3490</v>
      </c>
      <c r="I31" s="7" t="s">
        <v>3649</v>
      </c>
      <c r="J31" s="7" t="s">
        <v>3426</v>
      </c>
      <c r="K31" s="7"/>
      <c r="L31" s="11" t="str">
        <f>HYPERLINK("http://slimages.macys.com/is/image/MCY/15612147 ")</f>
        <v xml:space="preserve">http://slimages.macys.com/is/image/MCY/15612147 </v>
      </c>
    </row>
    <row r="32" spans="1:12" ht="39.950000000000003" customHeight="1" x14ac:dyDescent="0.25">
      <c r="A32" s="6" t="s">
        <v>263</v>
      </c>
      <c r="B32" s="7" t="s">
        <v>264</v>
      </c>
      <c r="C32" s="8">
        <v>1</v>
      </c>
      <c r="D32" s="9">
        <v>64.989999999999995</v>
      </c>
      <c r="E32" s="8" t="s">
        <v>265</v>
      </c>
      <c r="F32" s="7" t="s">
        <v>3445</v>
      </c>
      <c r="G32" s="10"/>
      <c r="H32" s="7" t="s">
        <v>3440</v>
      </c>
      <c r="I32" s="7" t="s">
        <v>3948</v>
      </c>
      <c r="J32" s="7" t="s">
        <v>3426</v>
      </c>
      <c r="K32" s="7" t="s">
        <v>3949</v>
      </c>
      <c r="L32" s="11" t="str">
        <f>HYPERLINK("http://slimages.macys.com/is/image/MCY/8182285 ")</f>
        <v xml:space="preserve">http://slimages.macys.com/is/image/MCY/8182285 </v>
      </c>
    </row>
    <row r="33" spans="1:12" ht="39.950000000000003" customHeight="1" x14ac:dyDescent="0.25">
      <c r="A33" s="6" t="s">
        <v>1741</v>
      </c>
      <c r="B33" s="7" t="s">
        <v>1742</v>
      </c>
      <c r="C33" s="8">
        <v>1</v>
      </c>
      <c r="D33" s="9">
        <v>29.99</v>
      </c>
      <c r="E33" s="8" t="s">
        <v>1743</v>
      </c>
      <c r="F33" s="7"/>
      <c r="G33" s="10"/>
      <c r="H33" s="7" t="s">
        <v>3478</v>
      </c>
      <c r="I33" s="7" t="s">
        <v>3815</v>
      </c>
      <c r="J33" s="7" t="s">
        <v>3426</v>
      </c>
      <c r="K33" s="7" t="s">
        <v>3518</v>
      </c>
      <c r="L33" s="11" t="str">
        <f>HYPERLINK("http://slimages.macys.com/is/image/MCY/16688487 ")</f>
        <v xml:space="preserve">http://slimages.macys.com/is/image/MCY/16688487 </v>
      </c>
    </row>
    <row r="34" spans="1:12" ht="39.950000000000003" customHeight="1" x14ac:dyDescent="0.25">
      <c r="A34" s="6" t="s">
        <v>266</v>
      </c>
      <c r="B34" s="7" t="s">
        <v>267</v>
      </c>
      <c r="C34" s="8">
        <v>1</v>
      </c>
      <c r="D34" s="9">
        <v>29.99</v>
      </c>
      <c r="E34" s="8" t="s">
        <v>268</v>
      </c>
      <c r="F34" s="7" t="s">
        <v>3804</v>
      </c>
      <c r="G34" s="10" t="s">
        <v>3947</v>
      </c>
      <c r="H34" s="7" t="s">
        <v>3568</v>
      </c>
      <c r="I34" s="7" t="s">
        <v>4388</v>
      </c>
      <c r="J34" s="7" t="s">
        <v>3426</v>
      </c>
      <c r="K34" s="7"/>
      <c r="L34" s="11" t="str">
        <f>HYPERLINK("http://slimages.macys.com/is/image/MCY/9356828 ")</f>
        <v xml:space="preserve">http://slimages.macys.com/is/image/MCY/9356828 </v>
      </c>
    </row>
    <row r="35" spans="1:12" ht="39.950000000000003" customHeight="1" x14ac:dyDescent="0.25">
      <c r="A35" s="6" t="s">
        <v>269</v>
      </c>
      <c r="B35" s="7" t="s">
        <v>270</v>
      </c>
      <c r="C35" s="8">
        <v>1</v>
      </c>
      <c r="D35" s="9">
        <v>23.99</v>
      </c>
      <c r="E35" s="8" t="s">
        <v>271</v>
      </c>
      <c r="F35" s="7" t="s">
        <v>3445</v>
      </c>
      <c r="G35" s="10"/>
      <c r="H35" s="7" t="s">
        <v>3490</v>
      </c>
      <c r="I35" s="7" t="s">
        <v>272</v>
      </c>
      <c r="J35" s="7" t="s">
        <v>273</v>
      </c>
      <c r="K35" s="7" t="s">
        <v>3518</v>
      </c>
      <c r="L35" s="11" t="str">
        <f>HYPERLINK("http://slimages.macys.com/is/image/MCY/15442360 ")</f>
        <v xml:space="preserve">http://slimages.macys.com/is/image/MCY/15442360 </v>
      </c>
    </row>
    <row r="36" spans="1:12" ht="39.950000000000003" customHeight="1" x14ac:dyDescent="0.25">
      <c r="A36" s="6" t="s">
        <v>274</v>
      </c>
      <c r="B36" s="7" t="s">
        <v>275</v>
      </c>
      <c r="C36" s="8">
        <v>2</v>
      </c>
      <c r="D36" s="9">
        <v>159.97999999999999</v>
      </c>
      <c r="E36" s="8" t="s">
        <v>276</v>
      </c>
      <c r="F36" s="7" t="s">
        <v>3438</v>
      </c>
      <c r="G36" s="10"/>
      <c r="H36" s="7" t="s">
        <v>3440</v>
      </c>
      <c r="I36" s="7" t="s">
        <v>3446</v>
      </c>
      <c r="J36" s="7" t="s">
        <v>3613</v>
      </c>
      <c r="K36" s="7" t="s">
        <v>1192</v>
      </c>
      <c r="L36" s="11" t="str">
        <f>HYPERLINK("http://slimages.macys.com/is/image/MCY/12354487 ")</f>
        <v xml:space="preserve">http://slimages.macys.com/is/image/MCY/12354487 </v>
      </c>
    </row>
    <row r="37" spans="1:12" ht="39.950000000000003" customHeight="1" x14ac:dyDescent="0.25">
      <c r="A37" s="6" t="s">
        <v>277</v>
      </c>
      <c r="B37" s="7" t="s">
        <v>278</v>
      </c>
      <c r="C37" s="8">
        <v>2</v>
      </c>
      <c r="D37" s="9">
        <v>59.98</v>
      </c>
      <c r="E37" s="8">
        <v>22253022</v>
      </c>
      <c r="F37" s="7"/>
      <c r="G37" s="10"/>
      <c r="H37" s="7" t="s">
        <v>3478</v>
      </c>
      <c r="I37" s="7" t="s">
        <v>3517</v>
      </c>
      <c r="J37" s="7"/>
      <c r="K37" s="7"/>
      <c r="L37" s="11" t="str">
        <f>HYPERLINK("http://slimages.macys.com/is/image/MCY/17207280 ")</f>
        <v xml:space="preserve">http://slimages.macys.com/is/image/MCY/17207280 </v>
      </c>
    </row>
    <row r="38" spans="1:12" ht="39.950000000000003" customHeight="1" x14ac:dyDescent="0.25">
      <c r="A38" s="6" t="s">
        <v>1332</v>
      </c>
      <c r="B38" s="7" t="s">
        <v>1333</v>
      </c>
      <c r="C38" s="8">
        <v>1</v>
      </c>
      <c r="D38" s="9">
        <v>27.99</v>
      </c>
      <c r="E38" s="8" t="s">
        <v>1334</v>
      </c>
      <c r="F38" s="7" t="s">
        <v>3431</v>
      </c>
      <c r="G38" s="10"/>
      <c r="H38" s="7" t="s">
        <v>3490</v>
      </c>
      <c r="I38" s="7" t="s">
        <v>3553</v>
      </c>
      <c r="J38" s="7" t="s">
        <v>3426</v>
      </c>
      <c r="K38" s="7" t="s">
        <v>3518</v>
      </c>
      <c r="L38" s="11" t="str">
        <f>HYPERLINK("http://slimages.macys.com/is/image/MCY/16396397 ")</f>
        <v xml:space="preserve">http://slimages.macys.com/is/image/MCY/16396397 </v>
      </c>
    </row>
    <row r="39" spans="1:12" ht="39.950000000000003" customHeight="1" x14ac:dyDescent="0.25">
      <c r="A39" s="6" t="s">
        <v>279</v>
      </c>
      <c r="B39" s="7" t="s">
        <v>280</v>
      </c>
      <c r="C39" s="8">
        <v>1</v>
      </c>
      <c r="D39" s="9">
        <v>27.99</v>
      </c>
      <c r="E39" s="8" t="s">
        <v>281</v>
      </c>
      <c r="F39" s="7" t="s">
        <v>3445</v>
      </c>
      <c r="G39" s="10"/>
      <c r="H39" s="7" t="s">
        <v>3490</v>
      </c>
      <c r="I39" s="7" t="s">
        <v>3553</v>
      </c>
      <c r="J39" s="7" t="s">
        <v>3426</v>
      </c>
      <c r="K39" s="7" t="s">
        <v>3518</v>
      </c>
      <c r="L39" s="11" t="str">
        <f>HYPERLINK("http://slimages.macys.com/is/image/MCY/9534655 ")</f>
        <v xml:space="preserve">http://slimages.macys.com/is/image/MCY/9534655 </v>
      </c>
    </row>
    <row r="40" spans="1:12" ht="39.950000000000003" customHeight="1" x14ac:dyDescent="0.25">
      <c r="A40" s="6" t="s">
        <v>282</v>
      </c>
      <c r="B40" s="7" t="s">
        <v>283</v>
      </c>
      <c r="C40" s="8">
        <v>1</v>
      </c>
      <c r="D40" s="9">
        <v>19.989999999999998</v>
      </c>
      <c r="E40" s="8">
        <v>21350038</v>
      </c>
      <c r="F40" s="7" t="s">
        <v>3496</v>
      </c>
      <c r="G40" s="10"/>
      <c r="H40" s="7" t="s">
        <v>3542</v>
      </c>
      <c r="I40" s="7" t="s">
        <v>3517</v>
      </c>
      <c r="J40" s="7" t="s">
        <v>3426</v>
      </c>
      <c r="K40" s="7"/>
      <c r="L40" s="11" t="str">
        <f>HYPERLINK("http://slimages.macys.com/is/image/MCY/15389783 ")</f>
        <v xml:space="preserve">http://slimages.macys.com/is/image/MCY/15389783 </v>
      </c>
    </row>
    <row r="41" spans="1:12" ht="39.950000000000003" customHeight="1" x14ac:dyDescent="0.25">
      <c r="A41" s="6" t="s">
        <v>284</v>
      </c>
      <c r="B41" s="7" t="s">
        <v>285</v>
      </c>
      <c r="C41" s="8">
        <v>1</v>
      </c>
      <c r="D41" s="9">
        <v>21.99</v>
      </c>
      <c r="E41" s="8">
        <v>58171</v>
      </c>
      <c r="F41" s="7" t="s">
        <v>3588</v>
      </c>
      <c r="G41" s="10" t="s">
        <v>4383</v>
      </c>
      <c r="H41" s="7" t="s">
        <v>3490</v>
      </c>
      <c r="I41" s="7" t="s">
        <v>3649</v>
      </c>
      <c r="J41" s="7"/>
      <c r="K41" s="7"/>
      <c r="L41" s="11" t="str">
        <f>HYPERLINK("http://slimages.macys.com/is/image/MCY/17928548 ")</f>
        <v xml:space="preserve">http://slimages.macys.com/is/image/MCY/17928548 </v>
      </c>
    </row>
    <row r="42" spans="1:12" ht="39.950000000000003" customHeight="1" x14ac:dyDescent="0.25">
      <c r="A42" s="6" t="s">
        <v>2701</v>
      </c>
      <c r="B42" s="7" t="s">
        <v>2702</v>
      </c>
      <c r="C42" s="8">
        <v>1</v>
      </c>
      <c r="D42" s="9">
        <v>19.989999999999998</v>
      </c>
      <c r="E42" s="8" t="s">
        <v>2703</v>
      </c>
      <c r="F42" s="7" t="s">
        <v>3463</v>
      </c>
      <c r="G42" s="10"/>
      <c r="H42" s="7" t="s">
        <v>3542</v>
      </c>
      <c r="I42" s="7" t="s">
        <v>3577</v>
      </c>
      <c r="J42" s="7" t="s">
        <v>3426</v>
      </c>
      <c r="K42" s="7" t="s">
        <v>3518</v>
      </c>
      <c r="L42" s="11" t="str">
        <f>HYPERLINK("http://slimages.macys.com/is/image/MCY/13743272 ")</f>
        <v xml:space="preserve">http://slimages.macys.com/is/image/MCY/13743272 </v>
      </c>
    </row>
    <row r="43" spans="1:12" ht="39.950000000000003" customHeight="1" x14ac:dyDescent="0.25">
      <c r="A43" s="6" t="s">
        <v>286</v>
      </c>
      <c r="B43" s="7" t="s">
        <v>287</v>
      </c>
      <c r="C43" s="8">
        <v>2</v>
      </c>
      <c r="D43" s="9">
        <v>31.98</v>
      </c>
      <c r="E43" s="8">
        <v>51703</v>
      </c>
      <c r="F43" s="7" t="s">
        <v>3755</v>
      </c>
      <c r="G43" s="10"/>
      <c r="H43" s="7" t="s">
        <v>3490</v>
      </c>
      <c r="I43" s="7" t="s">
        <v>3649</v>
      </c>
      <c r="J43" s="7" t="s">
        <v>3426</v>
      </c>
      <c r="K43" s="7" t="s">
        <v>3518</v>
      </c>
      <c r="L43" s="11" t="str">
        <f>HYPERLINK("http://slimages.macys.com/is/image/MCY/12936375 ")</f>
        <v xml:space="preserve">http://slimages.macys.com/is/image/MCY/12936375 </v>
      </c>
    </row>
    <row r="44" spans="1:12" ht="39.950000000000003" customHeight="1" x14ac:dyDescent="0.25">
      <c r="A44" s="6" t="s">
        <v>288</v>
      </c>
      <c r="B44" s="7" t="s">
        <v>289</v>
      </c>
      <c r="C44" s="8">
        <v>1</v>
      </c>
      <c r="D44" s="9">
        <v>39.99</v>
      </c>
      <c r="E44" s="8" t="s">
        <v>290</v>
      </c>
      <c r="F44" s="7" t="s">
        <v>3463</v>
      </c>
      <c r="G44" s="10"/>
      <c r="H44" s="7" t="s">
        <v>3572</v>
      </c>
      <c r="I44" s="7" t="s">
        <v>3724</v>
      </c>
      <c r="J44" s="7"/>
      <c r="K44" s="7"/>
      <c r="L44" s="11" t="str">
        <f>HYPERLINK("http://slimages.macys.com/is/image/MCY/18340346 ")</f>
        <v xml:space="preserve">http://slimages.macys.com/is/image/MCY/18340346 </v>
      </c>
    </row>
    <row r="45" spans="1:12" ht="39.950000000000003" customHeight="1" x14ac:dyDescent="0.25">
      <c r="A45" s="6" t="s">
        <v>291</v>
      </c>
      <c r="B45" s="7" t="s">
        <v>292</v>
      </c>
      <c r="C45" s="8">
        <v>1</v>
      </c>
      <c r="D45" s="9">
        <v>39.99</v>
      </c>
      <c r="E45" s="8" t="s">
        <v>293</v>
      </c>
      <c r="F45" s="7" t="s">
        <v>3687</v>
      </c>
      <c r="G45" s="10"/>
      <c r="H45" s="7" t="s">
        <v>3572</v>
      </c>
      <c r="I45" s="7" t="s">
        <v>3724</v>
      </c>
      <c r="J45" s="7" t="s">
        <v>3426</v>
      </c>
      <c r="K45" s="7"/>
      <c r="L45" s="11" t="str">
        <f>HYPERLINK("http://slimages.macys.com/is/image/MCY/12072499 ")</f>
        <v xml:space="preserve">http://slimages.macys.com/is/image/MCY/12072499 </v>
      </c>
    </row>
    <row r="46" spans="1:12" ht="39.950000000000003" customHeight="1" x14ac:dyDescent="0.25">
      <c r="A46" s="6" t="s">
        <v>294</v>
      </c>
      <c r="B46" s="7" t="s">
        <v>295</v>
      </c>
      <c r="C46" s="8">
        <v>1</v>
      </c>
      <c r="D46" s="9">
        <v>78.11</v>
      </c>
      <c r="E46" s="8" t="s">
        <v>296</v>
      </c>
      <c r="F46" s="7"/>
      <c r="G46" s="10"/>
      <c r="H46" s="7" t="s">
        <v>2991</v>
      </c>
      <c r="I46" s="7" t="s">
        <v>297</v>
      </c>
      <c r="J46" s="7" t="s">
        <v>3426</v>
      </c>
      <c r="K46" s="7"/>
      <c r="L46" s="11" t="str">
        <f>HYPERLINK("http://slimages.macys.com/is/image/MCY/8151499 ")</f>
        <v xml:space="preserve">http://slimages.macys.com/is/image/MCY/8151499 </v>
      </c>
    </row>
    <row r="47" spans="1:12" ht="39.950000000000003" customHeight="1" x14ac:dyDescent="0.25">
      <c r="A47" s="6" t="s">
        <v>298</v>
      </c>
      <c r="B47" s="7" t="s">
        <v>299</v>
      </c>
      <c r="C47" s="8">
        <v>1</v>
      </c>
      <c r="D47" s="9">
        <v>39.99</v>
      </c>
      <c r="E47" s="8" t="s">
        <v>300</v>
      </c>
      <c r="F47" s="7" t="s">
        <v>4304</v>
      </c>
      <c r="G47" s="10"/>
      <c r="H47" s="7" t="s">
        <v>3458</v>
      </c>
      <c r="I47" s="7" t="s">
        <v>3459</v>
      </c>
      <c r="J47" s="7" t="s">
        <v>3426</v>
      </c>
      <c r="K47" s="7" t="s">
        <v>1928</v>
      </c>
      <c r="L47" s="11" t="str">
        <f>HYPERLINK("http://slimages.macys.com/is/image/MCY/8484844 ")</f>
        <v xml:space="preserve">http://slimages.macys.com/is/image/MCY/8484844 </v>
      </c>
    </row>
    <row r="48" spans="1:12" ht="39.950000000000003" customHeight="1" x14ac:dyDescent="0.25">
      <c r="A48" s="6" t="s">
        <v>301</v>
      </c>
      <c r="B48" s="7" t="s">
        <v>302</v>
      </c>
      <c r="C48" s="8">
        <v>1</v>
      </c>
      <c r="D48" s="9">
        <v>29.99</v>
      </c>
      <c r="E48" s="8" t="s">
        <v>303</v>
      </c>
      <c r="F48" s="7" t="s">
        <v>3610</v>
      </c>
      <c r="G48" s="10" t="s">
        <v>3617</v>
      </c>
      <c r="H48" s="7" t="s">
        <v>3525</v>
      </c>
      <c r="I48" s="7" t="s">
        <v>3612</v>
      </c>
      <c r="J48" s="7" t="s">
        <v>3426</v>
      </c>
      <c r="K48" s="7" t="s">
        <v>304</v>
      </c>
      <c r="L48" s="11" t="str">
        <f>HYPERLINK("http://slimages.macys.com/is/image/MCY/9406085 ")</f>
        <v xml:space="preserve">http://slimages.macys.com/is/image/MCY/9406085 </v>
      </c>
    </row>
    <row r="49" spans="1:12" ht="39.950000000000003" customHeight="1" x14ac:dyDescent="0.25">
      <c r="A49" s="6" t="s">
        <v>305</v>
      </c>
      <c r="B49" s="7" t="s">
        <v>306</v>
      </c>
      <c r="C49" s="8">
        <v>1</v>
      </c>
      <c r="D49" s="9">
        <v>44.99</v>
      </c>
      <c r="E49" s="8" t="s">
        <v>307</v>
      </c>
      <c r="F49" s="7" t="s">
        <v>3445</v>
      </c>
      <c r="G49" s="10"/>
      <c r="H49" s="7" t="s">
        <v>3458</v>
      </c>
      <c r="I49" s="7" t="s">
        <v>3459</v>
      </c>
      <c r="J49" s="7" t="s">
        <v>3426</v>
      </c>
      <c r="K49" s="7" t="s">
        <v>3485</v>
      </c>
      <c r="L49" s="11" t="str">
        <f>HYPERLINK("http://slimages.macys.com/is/image/MCY/11607139 ")</f>
        <v xml:space="preserve">http://slimages.macys.com/is/image/MCY/11607139 </v>
      </c>
    </row>
    <row r="50" spans="1:12" ht="39.950000000000003" customHeight="1" x14ac:dyDescent="0.25">
      <c r="A50" s="6" t="s">
        <v>308</v>
      </c>
      <c r="B50" s="7" t="s">
        <v>309</v>
      </c>
      <c r="C50" s="8">
        <v>1</v>
      </c>
      <c r="D50" s="9">
        <v>29.99</v>
      </c>
      <c r="E50" s="8" t="s">
        <v>310</v>
      </c>
      <c r="F50" s="7" t="s">
        <v>3445</v>
      </c>
      <c r="G50" s="10"/>
      <c r="H50" s="7" t="s">
        <v>3458</v>
      </c>
      <c r="I50" s="7" t="s">
        <v>3459</v>
      </c>
      <c r="J50" s="7" t="s">
        <v>3426</v>
      </c>
      <c r="K50" s="7" t="s">
        <v>311</v>
      </c>
      <c r="L50" s="11" t="str">
        <f>HYPERLINK("http://slimages.macys.com/is/image/MCY/16424611 ")</f>
        <v xml:space="preserve">http://slimages.macys.com/is/image/MCY/16424611 </v>
      </c>
    </row>
    <row r="51" spans="1:12" ht="39.950000000000003" customHeight="1" x14ac:dyDescent="0.25">
      <c r="A51" s="6" t="s">
        <v>312</v>
      </c>
      <c r="B51" s="7" t="s">
        <v>313</v>
      </c>
      <c r="C51" s="8">
        <v>2</v>
      </c>
      <c r="D51" s="9">
        <v>35.979999999999997</v>
      </c>
      <c r="E51" s="8" t="s">
        <v>314</v>
      </c>
      <c r="F51" s="7" t="s">
        <v>3720</v>
      </c>
      <c r="G51" s="10"/>
      <c r="H51" s="7" t="s">
        <v>3490</v>
      </c>
      <c r="I51" s="7" t="s">
        <v>2002</v>
      </c>
      <c r="J51" s="7" t="s">
        <v>3426</v>
      </c>
      <c r="K51" s="7" t="s">
        <v>3518</v>
      </c>
      <c r="L51" s="11" t="str">
        <f>HYPERLINK("http://slimages.macys.com/is/image/MCY/935272 ")</f>
        <v xml:space="preserve">http://slimages.macys.com/is/image/MCY/935272 </v>
      </c>
    </row>
    <row r="52" spans="1:12" ht="39.950000000000003" customHeight="1" x14ac:dyDescent="0.25">
      <c r="A52" s="6" t="s">
        <v>315</v>
      </c>
      <c r="B52" s="7" t="s">
        <v>316</v>
      </c>
      <c r="C52" s="8">
        <v>2</v>
      </c>
      <c r="D52" s="9">
        <v>29.98</v>
      </c>
      <c r="E52" s="8" t="s">
        <v>317</v>
      </c>
      <c r="F52" s="7" t="s">
        <v>4015</v>
      </c>
      <c r="G52" s="10" t="s">
        <v>4007</v>
      </c>
      <c r="H52" s="7" t="s">
        <v>3490</v>
      </c>
      <c r="I52" s="7" t="s">
        <v>4008</v>
      </c>
      <c r="J52" s="7"/>
      <c r="K52" s="7"/>
      <c r="L52" s="11" t="str">
        <f>HYPERLINK("http://slimages.macys.com/is/image/MCY/17620635 ")</f>
        <v xml:space="preserve">http://slimages.macys.com/is/image/MCY/17620635 </v>
      </c>
    </row>
    <row r="53" spans="1:12" ht="39.950000000000003" customHeight="1" x14ac:dyDescent="0.25">
      <c r="A53" s="6" t="s">
        <v>318</v>
      </c>
      <c r="B53" s="7" t="s">
        <v>319</v>
      </c>
      <c r="C53" s="8">
        <v>2</v>
      </c>
      <c r="D53" s="9">
        <v>29.98</v>
      </c>
      <c r="E53" s="8" t="s">
        <v>320</v>
      </c>
      <c r="F53" s="7" t="s">
        <v>3720</v>
      </c>
      <c r="G53" s="10" t="s">
        <v>4007</v>
      </c>
      <c r="H53" s="7" t="s">
        <v>3490</v>
      </c>
      <c r="I53" s="7" t="s">
        <v>4008</v>
      </c>
      <c r="J53" s="7"/>
      <c r="K53" s="7"/>
      <c r="L53" s="11" t="str">
        <f>HYPERLINK("http://slimages.macys.com/is/image/MCY/17620635 ")</f>
        <v xml:space="preserve">http://slimages.macys.com/is/image/MCY/17620635 </v>
      </c>
    </row>
    <row r="54" spans="1:12" ht="39.950000000000003" customHeight="1" x14ac:dyDescent="0.25">
      <c r="A54" s="6" t="s">
        <v>3667</v>
      </c>
      <c r="B54" s="7" t="s">
        <v>3668</v>
      </c>
      <c r="C54" s="8">
        <v>12</v>
      </c>
      <c r="D54" s="9">
        <v>480</v>
      </c>
      <c r="E54" s="8"/>
      <c r="F54" s="7" t="s">
        <v>3610</v>
      </c>
      <c r="G54" s="10" t="s">
        <v>3489</v>
      </c>
      <c r="H54" s="7" t="s">
        <v>3669</v>
      </c>
      <c r="I54" s="7" t="s">
        <v>3670</v>
      </c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3680</v>
      </c>
      <c r="B2" s="7" t="s">
        <v>3681</v>
      </c>
      <c r="C2" s="8">
        <v>1</v>
      </c>
      <c r="D2" s="9">
        <v>299.99</v>
      </c>
      <c r="E2" s="8" t="s">
        <v>3682</v>
      </c>
      <c r="F2" s="7" t="s">
        <v>3484</v>
      </c>
      <c r="G2" s="10"/>
      <c r="H2" s="7" t="s">
        <v>3440</v>
      </c>
      <c r="I2" s="7" t="s">
        <v>3683</v>
      </c>
      <c r="J2" s="7" t="s">
        <v>3426</v>
      </c>
      <c r="K2" s="7"/>
      <c r="L2" s="11" t="str">
        <f>HYPERLINK("http://slimages.macys.com/is/image/MCY/10467368 ")</f>
        <v xml:space="preserve">http://slimages.macys.com/is/image/MCY/10467368 </v>
      </c>
    </row>
    <row r="3" spans="1:12" ht="39.950000000000003" customHeight="1" x14ac:dyDescent="0.25">
      <c r="A3" s="6" t="s">
        <v>3684</v>
      </c>
      <c r="B3" s="7" t="s">
        <v>3685</v>
      </c>
      <c r="C3" s="8">
        <v>1</v>
      </c>
      <c r="D3" s="9">
        <v>199.99</v>
      </c>
      <c r="E3" s="8" t="s">
        <v>3686</v>
      </c>
      <c r="F3" s="7" t="s">
        <v>3687</v>
      </c>
      <c r="G3" s="10"/>
      <c r="H3" s="7" t="s">
        <v>3688</v>
      </c>
      <c r="I3" s="7" t="s">
        <v>3689</v>
      </c>
      <c r="J3" s="7" t="s">
        <v>3426</v>
      </c>
      <c r="K3" s="7" t="s">
        <v>3690</v>
      </c>
      <c r="L3" s="11" t="str">
        <f>HYPERLINK("http://slimages.macys.com/is/image/MCY/16248056 ")</f>
        <v xml:space="preserve">http://slimages.macys.com/is/image/MCY/16248056 </v>
      </c>
    </row>
    <row r="4" spans="1:12" ht="39.950000000000003" customHeight="1" x14ac:dyDescent="0.25">
      <c r="A4" s="6" t="s">
        <v>3691</v>
      </c>
      <c r="B4" s="7" t="s">
        <v>3692</v>
      </c>
      <c r="C4" s="8">
        <v>1</v>
      </c>
      <c r="D4" s="9">
        <v>299.99</v>
      </c>
      <c r="E4" s="8" t="s">
        <v>3693</v>
      </c>
      <c r="F4" s="7" t="s">
        <v>3535</v>
      </c>
      <c r="G4" s="10" t="s">
        <v>3694</v>
      </c>
      <c r="H4" s="7" t="s">
        <v>3695</v>
      </c>
      <c r="I4" s="7" t="s">
        <v>3696</v>
      </c>
      <c r="J4" s="7" t="s">
        <v>3426</v>
      </c>
      <c r="K4" s="7" t="s">
        <v>3697</v>
      </c>
      <c r="L4" s="11" t="str">
        <f>HYPERLINK("http://slimages.macys.com/is/image/MCY/15616483 ")</f>
        <v xml:space="preserve">http://slimages.macys.com/is/image/MCY/15616483 </v>
      </c>
    </row>
    <row r="5" spans="1:12" ht="39.950000000000003" customHeight="1" x14ac:dyDescent="0.25">
      <c r="A5" s="6" t="s">
        <v>3698</v>
      </c>
      <c r="B5" s="7" t="s">
        <v>3699</v>
      </c>
      <c r="C5" s="8">
        <v>1</v>
      </c>
      <c r="D5" s="9">
        <v>199.99</v>
      </c>
      <c r="E5" s="8">
        <v>19881312</v>
      </c>
      <c r="F5" s="7" t="s">
        <v>3496</v>
      </c>
      <c r="G5" s="10"/>
      <c r="H5" s="7" t="s">
        <v>3424</v>
      </c>
      <c r="I5" s="7" t="s">
        <v>3700</v>
      </c>
      <c r="J5" s="7" t="s">
        <v>3426</v>
      </c>
      <c r="K5" s="7" t="s">
        <v>3556</v>
      </c>
      <c r="L5" s="11" t="str">
        <f>HYPERLINK("http://slimages.macys.com/is/image/MCY/13341450 ")</f>
        <v xml:space="preserve">http://slimages.macys.com/is/image/MCY/13341450 </v>
      </c>
    </row>
    <row r="6" spans="1:12" ht="39.950000000000003" customHeight="1" x14ac:dyDescent="0.25">
      <c r="A6" s="6" t="s">
        <v>3701</v>
      </c>
      <c r="B6" s="7" t="s">
        <v>3702</v>
      </c>
      <c r="C6" s="8">
        <v>2</v>
      </c>
      <c r="D6" s="9">
        <v>379.98</v>
      </c>
      <c r="E6" s="8" t="s">
        <v>3703</v>
      </c>
      <c r="F6" s="7" t="s">
        <v>3445</v>
      </c>
      <c r="G6" s="10"/>
      <c r="H6" s="7" t="s">
        <v>3525</v>
      </c>
      <c r="I6" s="7" t="s">
        <v>3704</v>
      </c>
      <c r="J6" s="7" t="s">
        <v>3426</v>
      </c>
      <c r="K6" s="7" t="s">
        <v>3705</v>
      </c>
      <c r="L6" s="11" t="str">
        <f>HYPERLINK("http://slimages.macys.com/is/image/MCY/3962581 ")</f>
        <v xml:space="preserve">http://slimages.macys.com/is/image/MCY/3962581 </v>
      </c>
    </row>
    <row r="7" spans="1:12" ht="39.950000000000003" customHeight="1" x14ac:dyDescent="0.25">
      <c r="A7" s="6" t="s">
        <v>3706</v>
      </c>
      <c r="B7" s="7" t="s">
        <v>3707</v>
      </c>
      <c r="C7" s="8">
        <v>1</v>
      </c>
      <c r="D7" s="9">
        <v>149.99</v>
      </c>
      <c r="E7" s="8" t="s">
        <v>3708</v>
      </c>
      <c r="F7" s="7" t="s">
        <v>3463</v>
      </c>
      <c r="G7" s="10"/>
      <c r="H7" s="7" t="s">
        <v>3424</v>
      </c>
      <c r="I7" s="7" t="s">
        <v>3508</v>
      </c>
      <c r="J7" s="7" t="s">
        <v>3426</v>
      </c>
      <c r="K7" s="7" t="s">
        <v>3709</v>
      </c>
      <c r="L7" s="11" t="str">
        <f>HYPERLINK("http://slimages.macys.com/is/image/MCY/11667469 ")</f>
        <v xml:space="preserve">http://slimages.macys.com/is/image/MCY/11667469 </v>
      </c>
    </row>
    <row r="8" spans="1:12" ht="39.950000000000003" customHeight="1" x14ac:dyDescent="0.25">
      <c r="A8" s="6" t="s">
        <v>3710</v>
      </c>
      <c r="B8" s="7" t="s">
        <v>3711</v>
      </c>
      <c r="C8" s="8">
        <v>1</v>
      </c>
      <c r="D8" s="9">
        <v>179.99</v>
      </c>
      <c r="E8" s="8" t="s">
        <v>3712</v>
      </c>
      <c r="F8" s="7" t="s">
        <v>3541</v>
      </c>
      <c r="G8" s="10"/>
      <c r="H8" s="7" t="s">
        <v>3478</v>
      </c>
      <c r="I8" s="7" t="s">
        <v>3553</v>
      </c>
      <c r="J8" s="7" t="s">
        <v>3426</v>
      </c>
      <c r="K8" s="7" t="s">
        <v>3518</v>
      </c>
      <c r="L8" s="11" t="str">
        <f>HYPERLINK("http://slimages.macys.com/is/image/MCY/16736369 ")</f>
        <v xml:space="preserve">http://slimages.macys.com/is/image/MCY/16736369 </v>
      </c>
    </row>
    <row r="9" spans="1:12" ht="39.950000000000003" customHeight="1" x14ac:dyDescent="0.25">
      <c r="A9" s="6" t="s">
        <v>3713</v>
      </c>
      <c r="B9" s="7" t="s">
        <v>3714</v>
      </c>
      <c r="C9" s="8">
        <v>1</v>
      </c>
      <c r="D9" s="9">
        <v>145.99</v>
      </c>
      <c r="E9" s="8" t="s">
        <v>3715</v>
      </c>
      <c r="F9" s="7" t="s">
        <v>3716</v>
      </c>
      <c r="G9" s="10"/>
      <c r="H9" s="7" t="s">
        <v>3542</v>
      </c>
      <c r="I9" s="7" t="s">
        <v>3543</v>
      </c>
      <c r="J9" s="7" t="s">
        <v>3426</v>
      </c>
      <c r="K9" s="7" t="s">
        <v>3447</v>
      </c>
      <c r="L9" s="11" t="str">
        <f>HYPERLINK("http://slimages.macys.com/is/image/MCY/16484273 ")</f>
        <v xml:space="preserve">http://slimages.macys.com/is/image/MCY/16484273 </v>
      </c>
    </row>
    <row r="10" spans="1:12" ht="39.950000000000003" customHeight="1" x14ac:dyDescent="0.25">
      <c r="A10" s="6" t="s">
        <v>3717</v>
      </c>
      <c r="B10" s="7" t="s">
        <v>3718</v>
      </c>
      <c r="C10" s="8">
        <v>1</v>
      </c>
      <c r="D10" s="9">
        <v>129.99</v>
      </c>
      <c r="E10" s="8" t="s">
        <v>3719</v>
      </c>
      <c r="F10" s="7" t="s">
        <v>3720</v>
      </c>
      <c r="G10" s="10"/>
      <c r="H10" s="7" t="s">
        <v>3478</v>
      </c>
      <c r="I10" s="7" t="s">
        <v>3553</v>
      </c>
      <c r="J10" s="7" t="s">
        <v>3426</v>
      </c>
      <c r="K10" s="7" t="s">
        <v>3518</v>
      </c>
      <c r="L10" s="11" t="str">
        <f>HYPERLINK("http://slimages.macys.com/is/image/MCY/8930319 ")</f>
        <v xml:space="preserve">http://slimages.macys.com/is/image/MCY/8930319 </v>
      </c>
    </row>
    <row r="11" spans="1:12" ht="39.950000000000003" customHeight="1" x14ac:dyDescent="0.25">
      <c r="A11" s="6" t="s">
        <v>3721</v>
      </c>
      <c r="B11" s="7" t="s">
        <v>3722</v>
      </c>
      <c r="C11" s="8">
        <v>1</v>
      </c>
      <c r="D11" s="9">
        <v>119.99</v>
      </c>
      <c r="E11" s="8" t="s">
        <v>3723</v>
      </c>
      <c r="F11" s="7" t="s">
        <v>3687</v>
      </c>
      <c r="G11" s="10"/>
      <c r="H11" s="7" t="s">
        <v>3572</v>
      </c>
      <c r="I11" s="7" t="s">
        <v>3724</v>
      </c>
      <c r="J11" s="7" t="s">
        <v>3613</v>
      </c>
      <c r="K11" s="7" t="s">
        <v>3725</v>
      </c>
      <c r="L11" s="11" t="str">
        <f>HYPERLINK("http://slimages.macys.com/is/image/MCY/12072430 ")</f>
        <v xml:space="preserve">http://slimages.macys.com/is/image/MCY/12072430 </v>
      </c>
    </row>
    <row r="12" spans="1:12" ht="39.950000000000003" customHeight="1" x14ac:dyDescent="0.25">
      <c r="A12" s="6" t="s">
        <v>3726</v>
      </c>
      <c r="B12" s="7" t="s">
        <v>3727</v>
      </c>
      <c r="C12" s="8">
        <v>1</v>
      </c>
      <c r="D12" s="9">
        <v>69.989999999999995</v>
      </c>
      <c r="E12" s="8" t="s">
        <v>3728</v>
      </c>
      <c r="F12" s="7" t="s">
        <v>3431</v>
      </c>
      <c r="G12" s="10"/>
      <c r="H12" s="7" t="s">
        <v>3478</v>
      </c>
      <c r="I12" s="7" t="s">
        <v>3553</v>
      </c>
      <c r="J12" s="7" t="s">
        <v>3426</v>
      </c>
      <c r="K12" s="7" t="s">
        <v>3729</v>
      </c>
      <c r="L12" s="11" t="str">
        <f>HYPERLINK("http://slimages.macys.com/is/image/MCY/9484745 ")</f>
        <v xml:space="preserve">http://slimages.macys.com/is/image/MCY/9484745 </v>
      </c>
    </row>
    <row r="13" spans="1:12" ht="39.950000000000003" customHeight="1" x14ac:dyDescent="0.25">
      <c r="A13" s="6" t="s">
        <v>3730</v>
      </c>
      <c r="B13" s="7" t="s">
        <v>3731</v>
      </c>
      <c r="C13" s="8">
        <v>1</v>
      </c>
      <c r="D13" s="9">
        <v>59.99</v>
      </c>
      <c r="E13" s="8" t="s">
        <v>3732</v>
      </c>
      <c r="F13" s="7" t="s">
        <v>3733</v>
      </c>
      <c r="G13" s="10"/>
      <c r="H13" s="7" t="s">
        <v>3490</v>
      </c>
      <c r="I13" s="7" t="s">
        <v>3734</v>
      </c>
      <c r="J13" s="7" t="s">
        <v>3426</v>
      </c>
      <c r="K13" s="7" t="s">
        <v>3735</v>
      </c>
      <c r="L13" s="11" t="str">
        <f>HYPERLINK("http://slimages.macys.com/is/image/MCY/2870635 ")</f>
        <v xml:space="preserve">http://slimages.macys.com/is/image/MCY/2870635 </v>
      </c>
    </row>
    <row r="14" spans="1:12" ht="39.950000000000003" customHeight="1" x14ac:dyDescent="0.25">
      <c r="A14" s="6" t="s">
        <v>3736</v>
      </c>
      <c r="B14" s="7" t="s">
        <v>3737</v>
      </c>
      <c r="C14" s="8">
        <v>1</v>
      </c>
      <c r="D14" s="9">
        <v>59.99</v>
      </c>
      <c r="E14" s="8">
        <v>21478222</v>
      </c>
      <c r="F14" s="7"/>
      <c r="G14" s="10"/>
      <c r="H14" s="7" t="s">
        <v>3478</v>
      </c>
      <c r="I14" s="7" t="s">
        <v>3517</v>
      </c>
      <c r="J14" s="7" t="s">
        <v>3426</v>
      </c>
      <c r="K14" s="7" t="s">
        <v>3518</v>
      </c>
      <c r="L14" s="11" t="str">
        <f>HYPERLINK("http://slimages.macys.com/is/image/MCY/15396834 ")</f>
        <v xml:space="preserve">http://slimages.macys.com/is/image/MCY/15396834 </v>
      </c>
    </row>
    <row r="15" spans="1:12" ht="39.950000000000003" customHeight="1" x14ac:dyDescent="0.25">
      <c r="A15" s="6" t="s">
        <v>3738</v>
      </c>
      <c r="B15" s="7" t="s">
        <v>3739</v>
      </c>
      <c r="C15" s="8">
        <v>1</v>
      </c>
      <c r="D15" s="9">
        <v>49.99</v>
      </c>
      <c r="E15" s="8" t="s">
        <v>3740</v>
      </c>
      <c r="F15" s="7" t="s">
        <v>3484</v>
      </c>
      <c r="G15" s="10"/>
      <c r="H15" s="7" t="s">
        <v>3542</v>
      </c>
      <c r="I15" s="7" t="s">
        <v>3741</v>
      </c>
      <c r="J15" s="7"/>
      <c r="K15" s="7"/>
      <c r="L15" s="11" t="str">
        <f>HYPERLINK("http://slimages.macys.com/is/image/MCY/17960139 ")</f>
        <v xml:space="preserve">http://slimages.macys.com/is/image/MCY/17960139 </v>
      </c>
    </row>
    <row r="16" spans="1:12" ht="39.950000000000003" customHeight="1" x14ac:dyDescent="0.25">
      <c r="A16" s="6" t="s">
        <v>3742</v>
      </c>
      <c r="B16" s="7" t="s">
        <v>3743</v>
      </c>
      <c r="C16" s="8">
        <v>1</v>
      </c>
      <c r="D16" s="9">
        <v>74.989999999999995</v>
      </c>
      <c r="E16" s="8">
        <v>1518203181</v>
      </c>
      <c r="F16" s="7" t="s">
        <v>3496</v>
      </c>
      <c r="G16" s="10" t="s">
        <v>3489</v>
      </c>
      <c r="H16" s="7" t="s">
        <v>3490</v>
      </c>
      <c r="I16" s="7" t="s">
        <v>3744</v>
      </c>
      <c r="J16" s="7" t="s">
        <v>3426</v>
      </c>
      <c r="K16" s="7" t="s">
        <v>3745</v>
      </c>
      <c r="L16" s="11" t="str">
        <f>HYPERLINK("http://slimages.macys.com/is/image/MCY/15181331 ")</f>
        <v xml:space="preserve">http://slimages.macys.com/is/image/MCY/15181331 </v>
      </c>
    </row>
    <row r="17" spans="1:12" ht="39.950000000000003" customHeight="1" x14ac:dyDescent="0.25">
      <c r="A17" s="6" t="s">
        <v>3746</v>
      </c>
      <c r="B17" s="7" t="s">
        <v>3747</v>
      </c>
      <c r="C17" s="8">
        <v>1</v>
      </c>
      <c r="D17" s="9">
        <v>59.99</v>
      </c>
      <c r="E17" s="8">
        <v>82268</v>
      </c>
      <c r="F17" s="7" t="s">
        <v>3748</v>
      </c>
      <c r="G17" s="10"/>
      <c r="H17" s="7" t="s">
        <v>3478</v>
      </c>
      <c r="I17" s="7" t="s">
        <v>3479</v>
      </c>
      <c r="J17" s="7"/>
      <c r="K17" s="7"/>
      <c r="L17" s="11" t="str">
        <f>HYPERLINK("http://slimages.macys.com/is/image/MCY/17866635 ")</f>
        <v xml:space="preserve">http://slimages.macys.com/is/image/MCY/17866635 </v>
      </c>
    </row>
    <row r="18" spans="1:12" ht="39.950000000000003" customHeight="1" x14ac:dyDescent="0.25">
      <c r="A18" s="6" t="s">
        <v>3749</v>
      </c>
      <c r="B18" s="7" t="s">
        <v>3750</v>
      </c>
      <c r="C18" s="8">
        <v>1</v>
      </c>
      <c r="D18" s="9">
        <v>49.99</v>
      </c>
      <c r="E18" s="8" t="s">
        <v>3751</v>
      </c>
      <c r="F18" s="7" t="s">
        <v>3530</v>
      </c>
      <c r="G18" s="10"/>
      <c r="H18" s="7" t="s">
        <v>3424</v>
      </c>
      <c r="I18" s="7" t="s">
        <v>3508</v>
      </c>
      <c r="J18" s="7" t="s">
        <v>3426</v>
      </c>
      <c r="K18" s="7"/>
      <c r="L18" s="11" t="str">
        <f>HYPERLINK("http://slimages.macys.com/is/image/MCY/8095477 ")</f>
        <v xml:space="preserve">http://slimages.macys.com/is/image/MCY/8095477 </v>
      </c>
    </row>
    <row r="19" spans="1:12" ht="39.950000000000003" customHeight="1" x14ac:dyDescent="0.25">
      <c r="A19" s="6" t="s">
        <v>3752</v>
      </c>
      <c r="B19" s="7" t="s">
        <v>3753</v>
      </c>
      <c r="C19" s="8">
        <v>1</v>
      </c>
      <c r="D19" s="9">
        <v>32.99</v>
      </c>
      <c r="E19" s="8" t="s">
        <v>3754</v>
      </c>
      <c r="F19" s="7" t="s">
        <v>3755</v>
      </c>
      <c r="G19" s="10"/>
      <c r="H19" s="7" t="s">
        <v>3542</v>
      </c>
      <c r="I19" s="7" t="s">
        <v>3756</v>
      </c>
      <c r="J19" s="7" t="s">
        <v>3426</v>
      </c>
      <c r="K19" s="7" t="s">
        <v>3757</v>
      </c>
      <c r="L19" s="11" t="str">
        <f>HYPERLINK("http://slimages.macys.com/is/image/MCY/11798458 ")</f>
        <v xml:space="preserve">http://slimages.macys.com/is/image/MCY/11798458 </v>
      </c>
    </row>
    <row r="20" spans="1:12" ht="39.950000000000003" customHeight="1" x14ac:dyDescent="0.25">
      <c r="A20" s="6" t="s">
        <v>3758</v>
      </c>
      <c r="B20" s="7" t="s">
        <v>3759</v>
      </c>
      <c r="C20" s="8">
        <v>1</v>
      </c>
      <c r="D20" s="9">
        <v>49.99</v>
      </c>
      <c r="E20" s="8" t="s">
        <v>3760</v>
      </c>
      <c r="F20" s="7" t="s">
        <v>3445</v>
      </c>
      <c r="G20" s="10"/>
      <c r="H20" s="7" t="s">
        <v>3478</v>
      </c>
      <c r="I20" s="7" t="s">
        <v>3517</v>
      </c>
      <c r="J20" s="7" t="s">
        <v>3426</v>
      </c>
      <c r="K20" s="7" t="s">
        <v>3592</v>
      </c>
      <c r="L20" s="11" t="str">
        <f>HYPERLINK("http://slimages.macys.com/is/image/MCY/9330026 ")</f>
        <v xml:space="preserve">http://slimages.macys.com/is/image/MCY/9330026 </v>
      </c>
    </row>
    <row r="21" spans="1:12" ht="39.950000000000003" customHeight="1" x14ac:dyDescent="0.25">
      <c r="A21" s="6" t="s">
        <v>3761</v>
      </c>
      <c r="B21" s="7" t="s">
        <v>3762</v>
      </c>
      <c r="C21" s="8">
        <v>1</v>
      </c>
      <c r="D21" s="9">
        <v>34.99</v>
      </c>
      <c r="E21" s="8" t="s">
        <v>3763</v>
      </c>
      <c r="F21" s="7" t="s">
        <v>3423</v>
      </c>
      <c r="G21" s="10"/>
      <c r="H21" s="7" t="s">
        <v>3542</v>
      </c>
      <c r="I21" s="7" t="s">
        <v>3764</v>
      </c>
      <c r="J21" s="7" t="s">
        <v>3426</v>
      </c>
      <c r="K21" s="7" t="s">
        <v>3765</v>
      </c>
      <c r="L21" s="11" t="str">
        <f>HYPERLINK("http://slimages.macys.com/is/image/MCY/13793207 ")</f>
        <v xml:space="preserve">http://slimages.macys.com/is/image/MCY/13793207 </v>
      </c>
    </row>
    <row r="22" spans="1:12" ht="39.950000000000003" customHeight="1" x14ac:dyDescent="0.25">
      <c r="A22" s="6" t="s">
        <v>3766</v>
      </c>
      <c r="B22" s="7" t="s">
        <v>3767</v>
      </c>
      <c r="C22" s="8">
        <v>1</v>
      </c>
      <c r="D22" s="9">
        <v>44.99</v>
      </c>
      <c r="E22" s="8" t="s">
        <v>3768</v>
      </c>
      <c r="F22" s="7" t="s">
        <v>3769</v>
      </c>
      <c r="G22" s="10"/>
      <c r="H22" s="7" t="s">
        <v>3542</v>
      </c>
      <c r="I22" s="7" t="s">
        <v>3543</v>
      </c>
      <c r="J22" s="7" t="s">
        <v>3426</v>
      </c>
      <c r="K22" s="7" t="s">
        <v>3518</v>
      </c>
      <c r="L22" s="11" t="str">
        <f>HYPERLINK("http://slimages.macys.com/is/image/MCY/8993132 ")</f>
        <v xml:space="preserve">http://slimages.macys.com/is/image/MCY/8993132 </v>
      </c>
    </row>
    <row r="23" spans="1:12" ht="39.950000000000003" customHeight="1" x14ac:dyDescent="0.25">
      <c r="A23" s="6" t="s">
        <v>3770</v>
      </c>
      <c r="B23" s="7" t="s">
        <v>3771</v>
      </c>
      <c r="C23" s="8">
        <v>1</v>
      </c>
      <c r="D23" s="9">
        <v>48.99</v>
      </c>
      <c r="E23" s="8" t="s">
        <v>3772</v>
      </c>
      <c r="F23" s="7" t="s">
        <v>3445</v>
      </c>
      <c r="G23" s="10" t="s">
        <v>3773</v>
      </c>
      <c r="H23" s="7" t="s">
        <v>3559</v>
      </c>
      <c r="I23" s="7" t="s">
        <v>3756</v>
      </c>
      <c r="J23" s="7" t="s">
        <v>3426</v>
      </c>
      <c r="K23" s="7" t="s">
        <v>3518</v>
      </c>
      <c r="L23" s="11" t="str">
        <f>HYPERLINK("http://slimages.macys.com/is/image/MCY/11798739 ")</f>
        <v xml:space="preserve">http://slimages.macys.com/is/image/MCY/11798739 </v>
      </c>
    </row>
    <row r="24" spans="1:12" ht="39.950000000000003" customHeight="1" x14ac:dyDescent="0.25">
      <c r="A24" s="6" t="s">
        <v>3774</v>
      </c>
      <c r="B24" s="7" t="s">
        <v>3775</v>
      </c>
      <c r="C24" s="8">
        <v>1</v>
      </c>
      <c r="D24" s="9">
        <v>49.99</v>
      </c>
      <c r="E24" s="8" t="s">
        <v>3776</v>
      </c>
      <c r="F24" s="7" t="s">
        <v>3445</v>
      </c>
      <c r="G24" s="10" t="s">
        <v>3547</v>
      </c>
      <c r="H24" s="7" t="s">
        <v>3559</v>
      </c>
      <c r="I24" s="7" t="s">
        <v>3777</v>
      </c>
      <c r="J24" s="7"/>
      <c r="K24" s="7"/>
      <c r="L24" s="11" t="str">
        <f>HYPERLINK("http://slimages.macys.com/is/image/MCY/17546500 ")</f>
        <v xml:space="preserve">http://slimages.macys.com/is/image/MCY/17546500 </v>
      </c>
    </row>
    <row r="25" spans="1:12" ht="39.950000000000003" customHeight="1" x14ac:dyDescent="0.25">
      <c r="A25" s="6" t="s">
        <v>3778</v>
      </c>
      <c r="B25" s="7" t="s">
        <v>3779</v>
      </c>
      <c r="C25" s="8">
        <v>1</v>
      </c>
      <c r="D25" s="9">
        <v>35.99</v>
      </c>
      <c r="E25" s="8">
        <v>57761</v>
      </c>
      <c r="F25" s="7" t="s">
        <v>3511</v>
      </c>
      <c r="G25" s="10"/>
      <c r="H25" s="7" t="s">
        <v>3490</v>
      </c>
      <c r="I25" s="7" t="s">
        <v>3649</v>
      </c>
      <c r="J25" s="7"/>
      <c r="K25" s="7"/>
      <c r="L25" s="11" t="str">
        <f>HYPERLINK("http://slimages.macys.com/is/image/MCY/17937420 ")</f>
        <v xml:space="preserve">http://slimages.macys.com/is/image/MCY/17937420 </v>
      </c>
    </row>
    <row r="26" spans="1:12" ht="39.950000000000003" customHeight="1" x14ac:dyDescent="0.25">
      <c r="A26" s="6" t="s">
        <v>3780</v>
      </c>
      <c r="B26" s="7" t="s">
        <v>3781</v>
      </c>
      <c r="C26" s="8">
        <v>1</v>
      </c>
      <c r="D26" s="9">
        <v>29.99</v>
      </c>
      <c r="E26" s="8">
        <v>21334438</v>
      </c>
      <c r="F26" s="7" t="s">
        <v>3445</v>
      </c>
      <c r="G26" s="10"/>
      <c r="H26" s="7" t="s">
        <v>3542</v>
      </c>
      <c r="I26" s="7" t="s">
        <v>3517</v>
      </c>
      <c r="J26" s="7" t="s">
        <v>3426</v>
      </c>
      <c r="K26" s="7"/>
      <c r="L26" s="11" t="str">
        <f>HYPERLINK("http://slimages.macys.com/is/image/MCY/15389781 ")</f>
        <v xml:space="preserve">http://slimages.macys.com/is/image/MCY/15389781 </v>
      </c>
    </row>
    <row r="27" spans="1:12" ht="39.950000000000003" customHeight="1" x14ac:dyDescent="0.25">
      <c r="A27" s="6" t="s">
        <v>3782</v>
      </c>
      <c r="B27" s="7" t="s">
        <v>3783</v>
      </c>
      <c r="C27" s="8">
        <v>1</v>
      </c>
      <c r="D27" s="9">
        <v>39.99</v>
      </c>
      <c r="E27" s="8" t="s">
        <v>3784</v>
      </c>
      <c r="F27" s="7" t="s">
        <v>3535</v>
      </c>
      <c r="G27" s="10"/>
      <c r="H27" s="7" t="s">
        <v>3490</v>
      </c>
      <c r="I27" s="7" t="s">
        <v>3785</v>
      </c>
      <c r="J27" s="7" t="s">
        <v>3426</v>
      </c>
      <c r="K27" s="7" t="s">
        <v>3745</v>
      </c>
      <c r="L27" s="11" t="str">
        <f>HYPERLINK("http://slimages.macys.com/is/image/MCY/13767833 ")</f>
        <v xml:space="preserve">http://slimages.macys.com/is/image/MCY/13767833 </v>
      </c>
    </row>
    <row r="28" spans="1:12" ht="39.950000000000003" customHeight="1" x14ac:dyDescent="0.25">
      <c r="A28" s="6" t="s">
        <v>3786</v>
      </c>
      <c r="B28" s="7" t="s">
        <v>3787</v>
      </c>
      <c r="C28" s="8">
        <v>1</v>
      </c>
      <c r="D28" s="9">
        <v>34.99</v>
      </c>
      <c r="E28" s="8">
        <v>224041</v>
      </c>
      <c r="F28" s="7" t="s">
        <v>3674</v>
      </c>
      <c r="G28" s="10" t="s">
        <v>3512</v>
      </c>
      <c r="H28" s="7" t="s">
        <v>3424</v>
      </c>
      <c r="I28" s="7" t="s">
        <v>3425</v>
      </c>
      <c r="J28" s="7" t="s">
        <v>3426</v>
      </c>
      <c r="K28" s="7"/>
      <c r="L28" s="11" t="str">
        <f>HYPERLINK("http://slimages.macys.com/is/image/MCY/8733172 ")</f>
        <v xml:space="preserve">http://slimages.macys.com/is/image/MCY/8733172 </v>
      </c>
    </row>
    <row r="29" spans="1:12" ht="39.950000000000003" customHeight="1" x14ac:dyDescent="0.25">
      <c r="A29" s="6" t="s">
        <v>3788</v>
      </c>
      <c r="B29" s="7" t="s">
        <v>3789</v>
      </c>
      <c r="C29" s="8">
        <v>1</v>
      </c>
      <c r="D29" s="9">
        <v>78.11</v>
      </c>
      <c r="E29" s="8" t="s">
        <v>3790</v>
      </c>
      <c r="F29" s="7"/>
      <c r="G29" s="10"/>
      <c r="H29" s="7" t="s">
        <v>3490</v>
      </c>
      <c r="I29" s="7" t="s">
        <v>3553</v>
      </c>
      <c r="J29" s="7" t="s">
        <v>3426</v>
      </c>
      <c r="K29" s="7" t="s">
        <v>3745</v>
      </c>
      <c r="L29" s="11" t="str">
        <f>HYPERLINK("http://slimages.macys.com/is/image/MCY/3664922 ")</f>
        <v xml:space="preserve">http://slimages.macys.com/is/image/MCY/3664922 </v>
      </c>
    </row>
    <row r="30" spans="1:12" ht="39.950000000000003" customHeight="1" x14ac:dyDescent="0.25">
      <c r="A30" s="6" t="s">
        <v>3791</v>
      </c>
      <c r="B30" s="7" t="s">
        <v>3792</v>
      </c>
      <c r="C30" s="8">
        <v>1</v>
      </c>
      <c r="D30" s="9">
        <v>39.99</v>
      </c>
      <c r="E30" s="8" t="s">
        <v>3793</v>
      </c>
      <c r="F30" s="7" t="s">
        <v>3720</v>
      </c>
      <c r="G30" s="10" t="s">
        <v>3653</v>
      </c>
      <c r="H30" s="7" t="s">
        <v>3654</v>
      </c>
      <c r="I30" s="7" t="s">
        <v>3655</v>
      </c>
      <c r="J30" s="7" t="s">
        <v>3426</v>
      </c>
      <c r="K30" s="7" t="s">
        <v>3794</v>
      </c>
      <c r="L30" s="11" t="str">
        <f>HYPERLINK("http://slimages.macys.com/is/image/MCY/15098992 ")</f>
        <v xml:space="preserve">http://slimages.macys.com/is/image/MCY/15098992 </v>
      </c>
    </row>
    <row r="31" spans="1:12" ht="39.950000000000003" customHeight="1" x14ac:dyDescent="0.25">
      <c r="A31" s="6" t="s">
        <v>3795</v>
      </c>
      <c r="B31" s="7" t="s">
        <v>3796</v>
      </c>
      <c r="C31" s="8">
        <v>1</v>
      </c>
      <c r="D31" s="9">
        <v>41.99</v>
      </c>
      <c r="E31" s="8" t="s">
        <v>3797</v>
      </c>
      <c r="F31" s="7" t="s">
        <v>3477</v>
      </c>
      <c r="G31" s="10"/>
      <c r="H31" s="7" t="s">
        <v>3676</v>
      </c>
      <c r="I31" s="7" t="s">
        <v>3677</v>
      </c>
      <c r="J31" s="7"/>
      <c r="K31" s="7"/>
      <c r="L31" s="11" t="str">
        <f>HYPERLINK("http://slimages.macys.com/is/image/MCY/9489266 ")</f>
        <v xml:space="preserve">http://slimages.macys.com/is/image/MCY/9489266 </v>
      </c>
    </row>
    <row r="32" spans="1:12" ht="39.950000000000003" customHeight="1" x14ac:dyDescent="0.25">
      <c r="A32" s="6" t="s">
        <v>3798</v>
      </c>
      <c r="B32" s="7" t="s">
        <v>3799</v>
      </c>
      <c r="C32" s="8">
        <v>1</v>
      </c>
      <c r="D32" s="9">
        <v>29.99</v>
      </c>
      <c r="E32" s="8" t="s">
        <v>3800</v>
      </c>
      <c r="F32" s="7" t="s">
        <v>3496</v>
      </c>
      <c r="G32" s="10"/>
      <c r="H32" s="7" t="s">
        <v>3478</v>
      </c>
      <c r="I32" s="7" t="s">
        <v>3517</v>
      </c>
      <c r="J32" s="7" t="s">
        <v>3426</v>
      </c>
      <c r="K32" s="7" t="s">
        <v>3592</v>
      </c>
      <c r="L32" s="11" t="str">
        <f>HYPERLINK("http://slimages.macys.com/is/image/MCY/9700679 ")</f>
        <v xml:space="preserve">http://slimages.macys.com/is/image/MCY/9700679 </v>
      </c>
    </row>
    <row r="33" spans="1:12" ht="39.950000000000003" customHeight="1" x14ac:dyDescent="0.25">
      <c r="A33" s="6" t="s">
        <v>3801</v>
      </c>
      <c r="B33" s="7" t="s">
        <v>3802</v>
      </c>
      <c r="C33" s="8">
        <v>1</v>
      </c>
      <c r="D33" s="9">
        <v>29.99</v>
      </c>
      <c r="E33" s="8" t="s">
        <v>3803</v>
      </c>
      <c r="F33" s="7" t="s">
        <v>3804</v>
      </c>
      <c r="G33" s="10"/>
      <c r="H33" s="7" t="s">
        <v>3490</v>
      </c>
      <c r="I33" s="7" t="s">
        <v>3805</v>
      </c>
      <c r="J33" s="7"/>
      <c r="K33" s="7"/>
      <c r="L33" s="11" t="str">
        <f>HYPERLINK("http://slimages.macys.com/is/image/MCY/17566480 ")</f>
        <v xml:space="preserve">http://slimages.macys.com/is/image/MCY/17566480 </v>
      </c>
    </row>
    <row r="34" spans="1:12" ht="39.950000000000003" customHeight="1" x14ac:dyDescent="0.25">
      <c r="A34" s="6" t="s">
        <v>3806</v>
      </c>
      <c r="B34" s="7" t="s">
        <v>3807</v>
      </c>
      <c r="C34" s="8">
        <v>1</v>
      </c>
      <c r="D34" s="9">
        <v>37.99</v>
      </c>
      <c r="E34" s="8" t="s">
        <v>3808</v>
      </c>
      <c r="F34" s="7" t="s">
        <v>3445</v>
      </c>
      <c r="G34" s="10" t="s">
        <v>3809</v>
      </c>
      <c r="H34" s="7" t="s">
        <v>3490</v>
      </c>
      <c r="I34" s="7" t="s">
        <v>3810</v>
      </c>
      <c r="J34" s="7" t="s">
        <v>3601</v>
      </c>
      <c r="K34" s="7" t="s">
        <v>3811</v>
      </c>
      <c r="L34" s="11" t="str">
        <f>HYPERLINK("http://slimages.macys.com/is/image/MCY/12306497 ")</f>
        <v xml:space="preserve">http://slimages.macys.com/is/image/MCY/12306497 </v>
      </c>
    </row>
    <row r="35" spans="1:12" ht="39.950000000000003" customHeight="1" x14ac:dyDescent="0.25">
      <c r="A35" s="6" t="s">
        <v>3812</v>
      </c>
      <c r="B35" s="7" t="s">
        <v>3813</v>
      </c>
      <c r="C35" s="8">
        <v>1</v>
      </c>
      <c r="D35" s="9">
        <v>29.99</v>
      </c>
      <c r="E35" s="8" t="s">
        <v>3814</v>
      </c>
      <c r="F35" s="7"/>
      <c r="G35" s="10"/>
      <c r="H35" s="7" t="s">
        <v>3478</v>
      </c>
      <c r="I35" s="7" t="s">
        <v>3815</v>
      </c>
      <c r="J35" s="7" t="s">
        <v>3426</v>
      </c>
      <c r="K35" s="7" t="s">
        <v>3816</v>
      </c>
      <c r="L35" s="11" t="str">
        <f>HYPERLINK("http://slimages.macys.com/is/image/MCY/14911276 ")</f>
        <v xml:space="preserve">http://slimages.macys.com/is/image/MCY/14911276 </v>
      </c>
    </row>
    <row r="36" spans="1:12" ht="39.950000000000003" customHeight="1" x14ac:dyDescent="0.25">
      <c r="A36" s="6" t="s">
        <v>3817</v>
      </c>
      <c r="B36" s="7" t="s">
        <v>3818</v>
      </c>
      <c r="C36" s="8">
        <v>1</v>
      </c>
      <c r="D36" s="9">
        <v>23.99</v>
      </c>
      <c r="E36" s="8">
        <v>2042575</v>
      </c>
      <c r="F36" s="7" t="s">
        <v>3445</v>
      </c>
      <c r="G36" s="10"/>
      <c r="H36" s="7" t="s">
        <v>3542</v>
      </c>
      <c r="I36" s="7" t="s">
        <v>3819</v>
      </c>
      <c r="J36" s="7" t="s">
        <v>3426</v>
      </c>
      <c r="K36" s="7" t="s">
        <v>3820</v>
      </c>
      <c r="L36" s="11" t="str">
        <f>HYPERLINK("http://slimages.macys.com/is/image/MCY/11628601 ")</f>
        <v xml:space="preserve">http://slimages.macys.com/is/image/MCY/11628601 </v>
      </c>
    </row>
    <row r="37" spans="1:12" ht="39.950000000000003" customHeight="1" x14ac:dyDescent="0.25">
      <c r="A37" s="6" t="s">
        <v>3821</v>
      </c>
      <c r="B37" s="7" t="s">
        <v>3822</v>
      </c>
      <c r="C37" s="8">
        <v>1</v>
      </c>
      <c r="D37" s="9">
        <v>29.99</v>
      </c>
      <c r="E37" s="8" t="s">
        <v>3823</v>
      </c>
      <c r="F37" s="7" t="s">
        <v>3610</v>
      </c>
      <c r="G37" s="10" t="s">
        <v>3489</v>
      </c>
      <c r="H37" s="7" t="s">
        <v>3583</v>
      </c>
      <c r="I37" s="7" t="s">
        <v>3824</v>
      </c>
      <c r="J37" s="7" t="s">
        <v>3426</v>
      </c>
      <c r="K37" s="7" t="s">
        <v>3825</v>
      </c>
      <c r="L37" s="11" t="str">
        <f>HYPERLINK("http://slimages.macys.com/is/image/MCY/1819585 ")</f>
        <v xml:space="preserve">http://slimages.macys.com/is/image/MCY/1819585 </v>
      </c>
    </row>
    <row r="38" spans="1:12" ht="39.950000000000003" customHeight="1" x14ac:dyDescent="0.25">
      <c r="A38" s="6" t="s">
        <v>3826</v>
      </c>
      <c r="B38" s="7" t="s">
        <v>3827</v>
      </c>
      <c r="C38" s="8">
        <v>1</v>
      </c>
      <c r="D38" s="9">
        <v>18.989999999999998</v>
      </c>
      <c r="E38" s="8" t="s">
        <v>3828</v>
      </c>
      <c r="F38" s="7" t="s">
        <v>3674</v>
      </c>
      <c r="G38" s="10"/>
      <c r="H38" s="7" t="s">
        <v>3542</v>
      </c>
      <c r="I38" s="7" t="s">
        <v>3829</v>
      </c>
      <c r="J38" s="7" t="s">
        <v>3426</v>
      </c>
      <c r="K38" s="7" t="s">
        <v>3518</v>
      </c>
      <c r="L38" s="11" t="str">
        <f>HYPERLINK("http://slimages.macys.com/is/image/MCY/3162549 ")</f>
        <v xml:space="preserve">http://slimages.macys.com/is/image/MCY/3162549 </v>
      </c>
    </row>
    <row r="39" spans="1:12" ht="39.950000000000003" customHeight="1" x14ac:dyDescent="0.25">
      <c r="A39" s="6" t="s">
        <v>3830</v>
      </c>
      <c r="B39" s="7" t="s">
        <v>3831</v>
      </c>
      <c r="C39" s="8">
        <v>3</v>
      </c>
      <c r="D39" s="9">
        <v>59.97</v>
      </c>
      <c r="E39" s="8">
        <v>1007988700</v>
      </c>
      <c r="F39" s="7" t="s">
        <v>3832</v>
      </c>
      <c r="G39" s="10" t="s">
        <v>3833</v>
      </c>
      <c r="H39" s="7" t="s">
        <v>3654</v>
      </c>
      <c r="I39" s="7" t="s">
        <v>3834</v>
      </c>
      <c r="J39" s="7" t="s">
        <v>3426</v>
      </c>
      <c r="K39" s="7" t="s">
        <v>3835</v>
      </c>
      <c r="L39" s="11" t="str">
        <f>HYPERLINK("http://slimages.macys.com/is/image/MCY/15766594 ")</f>
        <v xml:space="preserve">http://slimages.macys.com/is/image/MCY/15766594 </v>
      </c>
    </row>
    <row r="40" spans="1:12" ht="39.950000000000003" customHeight="1" x14ac:dyDescent="0.25">
      <c r="A40" s="6" t="s">
        <v>3836</v>
      </c>
      <c r="B40" s="7" t="s">
        <v>3837</v>
      </c>
      <c r="C40" s="8">
        <v>1</v>
      </c>
      <c r="D40" s="9">
        <v>19.989999999999998</v>
      </c>
      <c r="E40" s="8" t="s">
        <v>3838</v>
      </c>
      <c r="F40" s="7" t="s">
        <v>3832</v>
      </c>
      <c r="G40" s="10" t="s">
        <v>3839</v>
      </c>
      <c r="H40" s="7" t="s">
        <v>3654</v>
      </c>
      <c r="I40" s="7" t="s">
        <v>3840</v>
      </c>
      <c r="J40" s="7" t="s">
        <v>3426</v>
      </c>
      <c r="K40" s="7" t="s">
        <v>3492</v>
      </c>
      <c r="L40" s="11" t="str">
        <f>HYPERLINK("http://slimages.macys.com/is/image/MCY/12723168 ")</f>
        <v xml:space="preserve">http://slimages.macys.com/is/image/MCY/12723168 </v>
      </c>
    </row>
    <row r="41" spans="1:12" ht="39.950000000000003" customHeight="1" x14ac:dyDescent="0.25">
      <c r="A41" s="6" t="s">
        <v>3841</v>
      </c>
      <c r="B41" s="7" t="s">
        <v>3842</v>
      </c>
      <c r="C41" s="8">
        <v>1</v>
      </c>
      <c r="D41" s="9">
        <v>15.99</v>
      </c>
      <c r="E41" s="8">
        <v>50944</v>
      </c>
      <c r="F41" s="7" t="s">
        <v>3720</v>
      </c>
      <c r="G41" s="10"/>
      <c r="H41" s="7" t="s">
        <v>3490</v>
      </c>
      <c r="I41" s="7" t="s">
        <v>3649</v>
      </c>
      <c r="J41" s="7" t="s">
        <v>3426</v>
      </c>
      <c r="K41" s="7" t="s">
        <v>3518</v>
      </c>
      <c r="L41" s="11" t="str">
        <f>HYPERLINK("http://slimages.macys.com/is/image/MCY/10010137 ")</f>
        <v xml:space="preserve">http://slimages.macys.com/is/image/MCY/10010137 </v>
      </c>
    </row>
    <row r="42" spans="1:12" ht="39.950000000000003" customHeight="1" x14ac:dyDescent="0.25">
      <c r="A42" s="6" t="s">
        <v>3843</v>
      </c>
      <c r="B42" s="7" t="s">
        <v>3844</v>
      </c>
      <c r="C42" s="8">
        <v>1</v>
      </c>
      <c r="D42" s="9">
        <v>13.99</v>
      </c>
      <c r="E42" s="8">
        <v>6574697</v>
      </c>
      <c r="F42" s="7"/>
      <c r="G42" s="10" t="s">
        <v>3845</v>
      </c>
      <c r="H42" s="7" t="s">
        <v>3490</v>
      </c>
      <c r="I42" s="7" t="s">
        <v>3846</v>
      </c>
      <c r="J42" s="7" t="s">
        <v>3426</v>
      </c>
      <c r="K42" s="7" t="s">
        <v>3847</v>
      </c>
      <c r="L42" s="11" t="str">
        <f>HYPERLINK("http://slimages.macys.com/is/image/MCY/11185467 ")</f>
        <v xml:space="preserve">http://slimages.macys.com/is/image/MCY/11185467 </v>
      </c>
    </row>
    <row r="43" spans="1:12" ht="39.950000000000003" customHeight="1" x14ac:dyDescent="0.25">
      <c r="A43" s="6" t="s">
        <v>3848</v>
      </c>
      <c r="B43" s="7" t="s">
        <v>3849</v>
      </c>
      <c r="C43" s="8">
        <v>1</v>
      </c>
      <c r="D43" s="9">
        <v>13.99</v>
      </c>
      <c r="E43" s="8" t="s">
        <v>3850</v>
      </c>
      <c r="F43" s="7" t="s">
        <v>3477</v>
      </c>
      <c r="G43" s="10" t="s">
        <v>3851</v>
      </c>
      <c r="H43" s="7" t="s">
        <v>3559</v>
      </c>
      <c r="I43" s="7" t="s">
        <v>3852</v>
      </c>
      <c r="J43" s="7"/>
      <c r="K43" s="7"/>
      <c r="L43" s="11" t="str">
        <f>HYPERLINK("http://slimages.macys.com/is/image/MCY/17899743 ")</f>
        <v xml:space="preserve">http://slimages.macys.com/is/image/MCY/17899743 </v>
      </c>
    </row>
    <row r="44" spans="1:12" ht="39.950000000000003" customHeight="1" x14ac:dyDescent="0.25">
      <c r="A44" s="6" t="s">
        <v>3663</v>
      </c>
      <c r="B44" s="7" t="s">
        <v>3664</v>
      </c>
      <c r="C44" s="8">
        <v>1</v>
      </c>
      <c r="D44" s="9">
        <v>9.99</v>
      </c>
      <c r="E44" s="8" t="s">
        <v>3665</v>
      </c>
      <c r="F44" s="7" t="s">
        <v>3610</v>
      </c>
      <c r="G44" s="10"/>
      <c r="H44" s="7" t="s">
        <v>3525</v>
      </c>
      <c r="I44" s="7" t="s">
        <v>3612</v>
      </c>
      <c r="J44" s="7" t="s">
        <v>3613</v>
      </c>
      <c r="K44" s="7" t="s">
        <v>3666</v>
      </c>
      <c r="L44" s="11" t="str">
        <f>HYPERLINK("http://slimages.macys.com/is/image/MCY/2831820 ")</f>
        <v xml:space="preserve">http://slimages.macys.com/is/image/MCY/2831820 </v>
      </c>
    </row>
    <row r="45" spans="1:12" ht="39.950000000000003" customHeight="1" x14ac:dyDescent="0.25">
      <c r="A45" s="6" t="s">
        <v>3853</v>
      </c>
      <c r="B45" s="7" t="s">
        <v>3854</v>
      </c>
      <c r="C45" s="8">
        <v>1</v>
      </c>
      <c r="D45" s="9">
        <v>10.99</v>
      </c>
      <c r="E45" s="8" t="s">
        <v>3855</v>
      </c>
      <c r="F45" s="7" t="s">
        <v>3733</v>
      </c>
      <c r="G45" s="10" t="s">
        <v>3851</v>
      </c>
      <c r="H45" s="7" t="s">
        <v>3559</v>
      </c>
      <c r="I45" s="7" t="s">
        <v>3852</v>
      </c>
      <c r="J45" s="7"/>
      <c r="K45" s="7"/>
      <c r="L45" s="11" t="str">
        <f>HYPERLINK("http://slimages.macys.com/is/image/MCY/17993408 ")</f>
        <v xml:space="preserve">http://slimages.macys.com/is/image/MCY/17993408 </v>
      </c>
    </row>
    <row r="46" spans="1:12" ht="39.950000000000003" customHeight="1" x14ac:dyDescent="0.25">
      <c r="A46" s="6" t="s">
        <v>3856</v>
      </c>
      <c r="B46" s="7" t="s">
        <v>3857</v>
      </c>
      <c r="C46" s="8">
        <v>1</v>
      </c>
      <c r="D46" s="9">
        <v>9.99</v>
      </c>
      <c r="E46" s="8" t="s">
        <v>3858</v>
      </c>
      <c r="F46" s="7" t="s">
        <v>3484</v>
      </c>
      <c r="G46" s="10"/>
      <c r="H46" s="7" t="s">
        <v>3490</v>
      </c>
      <c r="I46" s="7" t="s">
        <v>3859</v>
      </c>
      <c r="J46" s="7"/>
      <c r="K46" s="7"/>
      <c r="L46" s="11" t="str">
        <f>HYPERLINK("http://slimages.macys.com/is/image/MCY/17995889 ")</f>
        <v xml:space="preserve">http://slimages.macys.com/is/image/MCY/17995889 </v>
      </c>
    </row>
    <row r="47" spans="1:12" ht="39.950000000000003" customHeight="1" x14ac:dyDescent="0.25">
      <c r="A47" s="6" t="s">
        <v>3860</v>
      </c>
      <c r="B47" s="7" t="s">
        <v>3861</v>
      </c>
      <c r="C47" s="8">
        <v>1</v>
      </c>
      <c r="D47" s="9">
        <v>179.99</v>
      </c>
      <c r="E47" s="8">
        <v>82278</v>
      </c>
      <c r="F47" s="7" t="s">
        <v>3535</v>
      </c>
      <c r="G47" s="10"/>
      <c r="H47" s="7" t="s">
        <v>3478</v>
      </c>
      <c r="I47" s="7" t="s">
        <v>3479</v>
      </c>
      <c r="J47" s="7"/>
      <c r="K47" s="7"/>
      <c r="L47" s="11"/>
    </row>
    <row r="48" spans="1:12" ht="39.950000000000003" customHeight="1" x14ac:dyDescent="0.25">
      <c r="A48" s="6" t="s">
        <v>3862</v>
      </c>
      <c r="B48" s="7" t="s">
        <v>3863</v>
      </c>
      <c r="C48" s="8">
        <v>1</v>
      </c>
      <c r="D48" s="9">
        <v>129.99</v>
      </c>
      <c r="E48" s="8" t="s">
        <v>3864</v>
      </c>
      <c r="F48" s="7" t="s">
        <v>3463</v>
      </c>
      <c r="G48" s="10"/>
      <c r="H48" s="7" t="s">
        <v>3695</v>
      </c>
      <c r="I48" s="7" t="s">
        <v>3865</v>
      </c>
      <c r="J48" s="7"/>
      <c r="K48" s="7"/>
      <c r="L48" s="11"/>
    </row>
    <row r="49" spans="1:12" ht="39.950000000000003" customHeight="1" x14ac:dyDescent="0.25">
      <c r="A49" s="6" t="s">
        <v>3667</v>
      </c>
      <c r="B49" s="7" t="s">
        <v>3668</v>
      </c>
      <c r="C49" s="8">
        <v>12</v>
      </c>
      <c r="D49" s="9">
        <v>480</v>
      </c>
      <c r="E49" s="8"/>
      <c r="F49" s="7" t="s">
        <v>3610</v>
      </c>
      <c r="G49" s="10" t="s">
        <v>3489</v>
      </c>
      <c r="H49" s="7" t="s">
        <v>3669</v>
      </c>
      <c r="I49" s="7" t="s">
        <v>3670</v>
      </c>
      <c r="J49" s="7"/>
      <c r="K49" s="7"/>
      <c r="L49" s="11"/>
    </row>
    <row r="50" spans="1:12" ht="39.950000000000003" customHeight="1" x14ac:dyDescent="0.25">
      <c r="A50" s="6" t="s">
        <v>3866</v>
      </c>
      <c r="B50" s="7" t="s">
        <v>3867</v>
      </c>
      <c r="C50" s="8">
        <v>1</v>
      </c>
      <c r="D50" s="9">
        <v>59.99</v>
      </c>
      <c r="E50" s="8">
        <v>2000000070</v>
      </c>
      <c r="F50" s="7" t="s">
        <v>3463</v>
      </c>
      <c r="G50" s="10"/>
      <c r="H50" s="7" t="s">
        <v>3478</v>
      </c>
      <c r="I50" s="7" t="s">
        <v>3517</v>
      </c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321</v>
      </c>
      <c r="B2" s="7" t="s">
        <v>322</v>
      </c>
      <c r="C2" s="8">
        <v>1</v>
      </c>
      <c r="D2" s="9">
        <v>249.99</v>
      </c>
      <c r="E2" s="8" t="s">
        <v>323</v>
      </c>
      <c r="F2" s="7" t="s">
        <v>3423</v>
      </c>
      <c r="G2" s="10"/>
      <c r="H2" s="7" t="s">
        <v>3688</v>
      </c>
      <c r="I2" s="7" t="s">
        <v>1513</v>
      </c>
      <c r="J2" s="7" t="s">
        <v>3426</v>
      </c>
      <c r="K2" s="7" t="s">
        <v>1220</v>
      </c>
      <c r="L2" s="11" t="str">
        <f>HYPERLINK("http://slimages.macys.com/is/image/MCY/1519750 ")</f>
        <v xml:space="preserve">http://slimages.macys.com/is/image/MCY/1519750 </v>
      </c>
    </row>
    <row r="3" spans="1:12" ht="39.950000000000003" customHeight="1" x14ac:dyDescent="0.25">
      <c r="A3" s="6" t="s">
        <v>324</v>
      </c>
      <c r="B3" s="7" t="s">
        <v>325</v>
      </c>
      <c r="C3" s="8">
        <v>1</v>
      </c>
      <c r="D3" s="9">
        <v>179.99</v>
      </c>
      <c r="E3" s="8" t="s">
        <v>326</v>
      </c>
      <c r="F3" s="7"/>
      <c r="G3" s="10"/>
      <c r="H3" s="7" t="s">
        <v>3695</v>
      </c>
      <c r="I3" s="7" t="s">
        <v>2614</v>
      </c>
      <c r="J3" s="7" t="s">
        <v>3426</v>
      </c>
      <c r="K3" s="7" t="s">
        <v>327</v>
      </c>
      <c r="L3" s="11" t="str">
        <f>HYPERLINK("http://slimages.macys.com/is/image/MCY/12848362 ")</f>
        <v xml:space="preserve">http://slimages.macys.com/is/image/MCY/12848362 </v>
      </c>
    </row>
    <row r="4" spans="1:12" ht="39.950000000000003" customHeight="1" x14ac:dyDescent="0.25">
      <c r="A4" s="6" t="s">
        <v>328</v>
      </c>
      <c r="B4" s="7" t="s">
        <v>329</v>
      </c>
      <c r="C4" s="8">
        <v>1</v>
      </c>
      <c r="D4" s="9">
        <v>249.99</v>
      </c>
      <c r="E4" s="8" t="s">
        <v>330</v>
      </c>
      <c r="F4" s="7" t="s">
        <v>4047</v>
      </c>
      <c r="G4" s="10" t="s">
        <v>3439</v>
      </c>
      <c r="H4" s="7" t="s">
        <v>3440</v>
      </c>
      <c r="I4" s="7" t="s">
        <v>3441</v>
      </c>
      <c r="J4" s="7"/>
      <c r="K4" s="7"/>
      <c r="L4" s="11" t="str">
        <f>HYPERLINK("http://slimages.macys.com/is/image/MCY/18173113 ")</f>
        <v xml:space="preserve">http://slimages.macys.com/is/image/MCY/18173113 </v>
      </c>
    </row>
    <row r="5" spans="1:12" ht="39.950000000000003" customHeight="1" x14ac:dyDescent="0.25">
      <c r="A5" s="6" t="s">
        <v>331</v>
      </c>
      <c r="B5" s="7" t="s">
        <v>332</v>
      </c>
      <c r="C5" s="8">
        <v>1</v>
      </c>
      <c r="D5" s="9">
        <v>229.99</v>
      </c>
      <c r="E5" s="8" t="s">
        <v>333</v>
      </c>
      <c r="F5" s="7" t="s">
        <v>3445</v>
      </c>
      <c r="G5" s="10"/>
      <c r="H5" s="7" t="s">
        <v>3440</v>
      </c>
      <c r="I5" s="7" t="s">
        <v>3948</v>
      </c>
      <c r="J5" s="7" t="s">
        <v>3426</v>
      </c>
      <c r="K5" s="7" t="s">
        <v>3980</v>
      </c>
      <c r="L5" s="11" t="str">
        <f>HYPERLINK("http://slimages.macys.com/is/image/MCY/11953123 ")</f>
        <v xml:space="preserve">http://slimages.macys.com/is/image/MCY/11953123 </v>
      </c>
    </row>
    <row r="6" spans="1:12" ht="39.950000000000003" customHeight="1" x14ac:dyDescent="0.25">
      <c r="A6" s="6" t="s">
        <v>334</v>
      </c>
      <c r="B6" s="7" t="s">
        <v>335</v>
      </c>
      <c r="C6" s="8">
        <v>1</v>
      </c>
      <c r="D6" s="9">
        <v>161.99</v>
      </c>
      <c r="E6" s="8" t="s">
        <v>336</v>
      </c>
      <c r="F6" s="7"/>
      <c r="G6" s="10"/>
      <c r="H6" s="7" t="s">
        <v>3478</v>
      </c>
      <c r="I6" s="7" t="s">
        <v>337</v>
      </c>
      <c r="J6" s="7" t="s">
        <v>3426</v>
      </c>
      <c r="K6" s="7" t="s">
        <v>3556</v>
      </c>
      <c r="L6" s="11" t="str">
        <f>HYPERLINK("http://slimages.macys.com/is/image/MCY/16561010 ")</f>
        <v xml:space="preserve">http://slimages.macys.com/is/image/MCY/16561010 </v>
      </c>
    </row>
    <row r="7" spans="1:12" ht="39.950000000000003" customHeight="1" x14ac:dyDescent="0.25">
      <c r="A7" s="6" t="s">
        <v>338</v>
      </c>
      <c r="B7" s="7" t="s">
        <v>339</v>
      </c>
      <c r="C7" s="8">
        <v>1</v>
      </c>
      <c r="D7" s="9">
        <v>119.99</v>
      </c>
      <c r="E7" s="8" t="s">
        <v>340</v>
      </c>
      <c r="F7" s="7" t="s">
        <v>3431</v>
      </c>
      <c r="G7" s="10"/>
      <c r="H7" s="7" t="s">
        <v>3490</v>
      </c>
      <c r="I7" s="7" t="s">
        <v>3734</v>
      </c>
      <c r="J7" s="7" t="s">
        <v>3426</v>
      </c>
      <c r="K7" s="7"/>
      <c r="L7" s="11" t="str">
        <f>HYPERLINK("http://slimages.macys.com/is/image/MCY/8907453 ")</f>
        <v xml:space="preserve">http://slimages.macys.com/is/image/MCY/8907453 </v>
      </c>
    </row>
    <row r="8" spans="1:12" ht="39.950000000000003" customHeight="1" x14ac:dyDescent="0.25">
      <c r="A8" s="6" t="s">
        <v>3894</v>
      </c>
      <c r="B8" s="7" t="s">
        <v>3895</v>
      </c>
      <c r="C8" s="8">
        <v>1</v>
      </c>
      <c r="D8" s="9">
        <v>179.99</v>
      </c>
      <c r="E8" s="8" t="s">
        <v>3896</v>
      </c>
      <c r="F8" s="7" t="s">
        <v>3431</v>
      </c>
      <c r="G8" s="10"/>
      <c r="H8" s="7" t="s">
        <v>3572</v>
      </c>
      <c r="I8" s="7" t="s">
        <v>3897</v>
      </c>
      <c r="J8" s="7"/>
      <c r="K8" s="7"/>
      <c r="L8" s="11" t="str">
        <f>HYPERLINK("http://slimages.macys.com/is/image/MCY/16792609 ")</f>
        <v xml:space="preserve">http://slimages.macys.com/is/image/MCY/16792609 </v>
      </c>
    </row>
    <row r="9" spans="1:12" ht="39.950000000000003" customHeight="1" x14ac:dyDescent="0.25">
      <c r="A9" s="6" t="s">
        <v>341</v>
      </c>
      <c r="B9" s="7" t="s">
        <v>342</v>
      </c>
      <c r="C9" s="8">
        <v>2</v>
      </c>
      <c r="D9" s="9">
        <v>209.98</v>
      </c>
      <c r="E9" s="8" t="s">
        <v>343</v>
      </c>
      <c r="F9" s="7" t="s">
        <v>3445</v>
      </c>
      <c r="G9" s="10" t="s">
        <v>3547</v>
      </c>
      <c r="H9" s="7" t="s">
        <v>3559</v>
      </c>
      <c r="I9" s="7" t="s">
        <v>3996</v>
      </c>
      <c r="J9" s="7" t="s">
        <v>3564</v>
      </c>
      <c r="K9" s="7" t="s">
        <v>344</v>
      </c>
      <c r="L9" s="11" t="str">
        <f>HYPERLINK("http://slimages.macys.com/is/image/MCY/12753813 ")</f>
        <v xml:space="preserve">http://slimages.macys.com/is/image/MCY/12753813 </v>
      </c>
    </row>
    <row r="10" spans="1:12" ht="39.950000000000003" customHeight="1" x14ac:dyDescent="0.25">
      <c r="A10" s="6" t="s">
        <v>1553</v>
      </c>
      <c r="B10" s="7" t="s">
        <v>1554</v>
      </c>
      <c r="C10" s="8">
        <v>1</v>
      </c>
      <c r="D10" s="9">
        <v>149.99</v>
      </c>
      <c r="E10" s="8" t="s">
        <v>1555</v>
      </c>
      <c r="F10" s="7" t="s">
        <v>3504</v>
      </c>
      <c r="G10" s="10"/>
      <c r="H10" s="7" t="s">
        <v>3458</v>
      </c>
      <c r="I10" s="7" t="s">
        <v>3459</v>
      </c>
      <c r="J10" s="7" t="s">
        <v>3426</v>
      </c>
      <c r="K10" s="7" t="s">
        <v>1556</v>
      </c>
      <c r="L10" s="11" t="str">
        <f>HYPERLINK("http://slimages.macys.com/is/image/MCY/15389610 ")</f>
        <v xml:space="preserve">http://slimages.macys.com/is/image/MCY/15389610 </v>
      </c>
    </row>
    <row r="11" spans="1:12" ht="39.950000000000003" customHeight="1" x14ac:dyDescent="0.25">
      <c r="A11" s="6" t="s">
        <v>995</v>
      </c>
      <c r="B11" s="7" t="s">
        <v>996</v>
      </c>
      <c r="C11" s="8">
        <v>1</v>
      </c>
      <c r="D11" s="9">
        <v>129.99</v>
      </c>
      <c r="E11" s="8" t="s">
        <v>997</v>
      </c>
      <c r="F11" s="7" t="s">
        <v>3445</v>
      </c>
      <c r="G11" s="10"/>
      <c r="H11" s="7" t="s">
        <v>3458</v>
      </c>
      <c r="I11" s="7" t="s">
        <v>3459</v>
      </c>
      <c r="J11" s="7" t="s">
        <v>3426</v>
      </c>
      <c r="K11" s="7" t="s">
        <v>4251</v>
      </c>
      <c r="L11" s="11" t="str">
        <f>HYPERLINK("http://slimages.macys.com/is/image/MCY/15389610 ")</f>
        <v xml:space="preserve">http://slimages.macys.com/is/image/MCY/15389610 </v>
      </c>
    </row>
    <row r="12" spans="1:12" ht="39.950000000000003" customHeight="1" x14ac:dyDescent="0.25">
      <c r="A12" s="6" t="s">
        <v>345</v>
      </c>
      <c r="B12" s="7" t="s">
        <v>346</v>
      </c>
      <c r="C12" s="8">
        <v>1</v>
      </c>
      <c r="D12" s="9">
        <v>129.99</v>
      </c>
      <c r="E12" s="8" t="s">
        <v>1707</v>
      </c>
      <c r="F12" s="7" t="s">
        <v>3445</v>
      </c>
      <c r="G12" s="10"/>
      <c r="H12" s="7" t="s">
        <v>3458</v>
      </c>
      <c r="I12" s="7" t="s">
        <v>3459</v>
      </c>
      <c r="J12" s="7" t="s">
        <v>3426</v>
      </c>
      <c r="K12" s="7" t="s">
        <v>1556</v>
      </c>
      <c r="L12" s="11" t="str">
        <f>HYPERLINK("http://slimages.macys.com/is/image/MCY/15862594 ")</f>
        <v xml:space="preserve">http://slimages.macys.com/is/image/MCY/15862594 </v>
      </c>
    </row>
    <row r="13" spans="1:12" ht="39.950000000000003" customHeight="1" x14ac:dyDescent="0.25">
      <c r="A13" s="6" t="s">
        <v>347</v>
      </c>
      <c r="B13" s="7" t="s">
        <v>348</v>
      </c>
      <c r="C13" s="8">
        <v>1</v>
      </c>
      <c r="D13" s="9">
        <v>70.989999999999995</v>
      </c>
      <c r="E13" s="8" t="s">
        <v>349</v>
      </c>
      <c r="F13" s="7" t="s">
        <v>3445</v>
      </c>
      <c r="G13" s="10"/>
      <c r="H13" s="7" t="s">
        <v>3635</v>
      </c>
      <c r="I13" s="7" t="s">
        <v>2832</v>
      </c>
      <c r="J13" s="7" t="s">
        <v>3426</v>
      </c>
      <c r="K13" s="7" t="s">
        <v>2833</v>
      </c>
      <c r="L13" s="11" t="str">
        <f>HYPERLINK("http://slimages.macys.com/is/image/MCY/10753703 ")</f>
        <v xml:space="preserve">http://slimages.macys.com/is/image/MCY/10753703 </v>
      </c>
    </row>
    <row r="14" spans="1:12" ht="39.950000000000003" customHeight="1" x14ac:dyDescent="0.25">
      <c r="A14" s="6" t="s">
        <v>350</v>
      </c>
      <c r="B14" s="7" t="s">
        <v>351</v>
      </c>
      <c r="C14" s="8">
        <v>1</v>
      </c>
      <c r="D14" s="9">
        <v>79.989999999999995</v>
      </c>
      <c r="E14" s="8">
        <v>1003085000</v>
      </c>
      <c r="F14" s="7" t="s">
        <v>3451</v>
      </c>
      <c r="G14" s="10"/>
      <c r="H14" s="7" t="s">
        <v>3654</v>
      </c>
      <c r="I14" s="7" t="s">
        <v>3655</v>
      </c>
      <c r="J14" s="7" t="s">
        <v>3426</v>
      </c>
      <c r="K14" s="7" t="s">
        <v>3492</v>
      </c>
      <c r="L14" s="11" t="str">
        <f>HYPERLINK("http://slimages.macys.com/is/image/MCY/9971657 ")</f>
        <v xml:space="preserve">http://slimages.macys.com/is/image/MCY/9971657 </v>
      </c>
    </row>
    <row r="15" spans="1:12" ht="39.950000000000003" customHeight="1" x14ac:dyDescent="0.25">
      <c r="A15" s="6" t="s">
        <v>352</v>
      </c>
      <c r="B15" s="7" t="s">
        <v>353</v>
      </c>
      <c r="C15" s="8">
        <v>1</v>
      </c>
      <c r="D15" s="9">
        <v>55.99</v>
      </c>
      <c r="E15" s="8" t="s">
        <v>354</v>
      </c>
      <c r="F15" s="7" t="s">
        <v>3445</v>
      </c>
      <c r="G15" s="10"/>
      <c r="H15" s="7" t="s">
        <v>3542</v>
      </c>
      <c r="I15" s="7" t="s">
        <v>4374</v>
      </c>
      <c r="J15" s="7" t="s">
        <v>3426</v>
      </c>
      <c r="K15" s="7" t="s">
        <v>4300</v>
      </c>
      <c r="L15" s="11" t="str">
        <f>HYPERLINK("http://slimages.macys.com/is/image/MCY/10682532 ")</f>
        <v xml:space="preserve">http://slimages.macys.com/is/image/MCY/10682532 </v>
      </c>
    </row>
    <row r="16" spans="1:12" ht="39.950000000000003" customHeight="1" x14ac:dyDescent="0.25">
      <c r="A16" s="6" t="s">
        <v>355</v>
      </c>
      <c r="B16" s="7" t="s">
        <v>356</v>
      </c>
      <c r="C16" s="8">
        <v>1</v>
      </c>
      <c r="D16" s="9">
        <v>49.99</v>
      </c>
      <c r="E16" s="8" t="s">
        <v>357</v>
      </c>
      <c r="F16" s="7" t="s">
        <v>3451</v>
      </c>
      <c r="G16" s="10"/>
      <c r="H16" s="7" t="s">
        <v>3542</v>
      </c>
      <c r="I16" s="7" t="s">
        <v>4234</v>
      </c>
      <c r="J16" s="7" t="s">
        <v>3426</v>
      </c>
      <c r="K16" s="7"/>
      <c r="L16" s="11" t="str">
        <f>HYPERLINK("http://slimages.macys.com/is/image/MCY/12658743 ")</f>
        <v xml:space="preserve">http://slimages.macys.com/is/image/MCY/12658743 </v>
      </c>
    </row>
    <row r="17" spans="1:12" ht="39.950000000000003" customHeight="1" x14ac:dyDescent="0.25">
      <c r="A17" s="6" t="s">
        <v>358</v>
      </c>
      <c r="B17" s="7" t="s">
        <v>359</v>
      </c>
      <c r="C17" s="8">
        <v>1</v>
      </c>
      <c r="D17" s="9">
        <v>49.99</v>
      </c>
      <c r="E17" s="8" t="s">
        <v>360</v>
      </c>
      <c r="F17" s="7" t="s">
        <v>3445</v>
      </c>
      <c r="G17" s="10"/>
      <c r="H17" s="7" t="s">
        <v>3542</v>
      </c>
      <c r="I17" s="7" t="s">
        <v>3741</v>
      </c>
      <c r="J17" s="7"/>
      <c r="K17" s="7"/>
      <c r="L17" s="11" t="str">
        <f>HYPERLINK("http://slimages.macys.com/is/image/MCY/17960139 ")</f>
        <v xml:space="preserve">http://slimages.macys.com/is/image/MCY/17960139 </v>
      </c>
    </row>
    <row r="18" spans="1:12" ht="39.950000000000003" customHeight="1" x14ac:dyDescent="0.25">
      <c r="A18" s="6" t="s">
        <v>361</v>
      </c>
      <c r="B18" s="7" t="s">
        <v>362</v>
      </c>
      <c r="C18" s="8">
        <v>1</v>
      </c>
      <c r="D18" s="9">
        <v>59.99</v>
      </c>
      <c r="E18" s="8" t="s">
        <v>363</v>
      </c>
      <c r="F18" s="7" t="s">
        <v>3535</v>
      </c>
      <c r="G18" s="10"/>
      <c r="H18" s="7" t="s">
        <v>3688</v>
      </c>
      <c r="I18" s="7" t="s">
        <v>3871</v>
      </c>
      <c r="J18" s="7" t="s">
        <v>3426</v>
      </c>
      <c r="K18" s="7" t="s">
        <v>3518</v>
      </c>
      <c r="L18" s="11" t="str">
        <f>HYPERLINK("http://slimages.macys.com/is/image/MCY/3833749 ")</f>
        <v xml:space="preserve">http://slimages.macys.com/is/image/MCY/3833749 </v>
      </c>
    </row>
    <row r="19" spans="1:12" ht="39.950000000000003" customHeight="1" x14ac:dyDescent="0.25">
      <c r="A19" s="6" t="s">
        <v>364</v>
      </c>
      <c r="B19" s="7" t="s">
        <v>365</v>
      </c>
      <c r="C19" s="8">
        <v>1</v>
      </c>
      <c r="D19" s="9">
        <v>44.99</v>
      </c>
      <c r="E19" s="8" t="s">
        <v>366</v>
      </c>
      <c r="F19" s="7" t="s">
        <v>4313</v>
      </c>
      <c r="G19" s="10"/>
      <c r="H19" s="7" t="s">
        <v>3542</v>
      </c>
      <c r="I19" s="7" t="s">
        <v>3543</v>
      </c>
      <c r="J19" s="7" t="s">
        <v>3426</v>
      </c>
      <c r="K19" s="7" t="s">
        <v>3447</v>
      </c>
      <c r="L19" s="11" t="str">
        <f>HYPERLINK("http://slimages.macys.com/is/image/MCY/8993077 ")</f>
        <v xml:space="preserve">http://slimages.macys.com/is/image/MCY/8993077 </v>
      </c>
    </row>
    <row r="20" spans="1:12" ht="39.950000000000003" customHeight="1" x14ac:dyDescent="0.25">
      <c r="A20" s="6" t="s">
        <v>367</v>
      </c>
      <c r="B20" s="7" t="s">
        <v>368</v>
      </c>
      <c r="C20" s="8">
        <v>1</v>
      </c>
      <c r="D20" s="9">
        <v>69.989999999999995</v>
      </c>
      <c r="E20" s="8" t="s">
        <v>3113</v>
      </c>
      <c r="F20" s="7" t="s">
        <v>3804</v>
      </c>
      <c r="G20" s="10"/>
      <c r="H20" s="7" t="s">
        <v>3432</v>
      </c>
      <c r="I20" s="7" t="s">
        <v>3622</v>
      </c>
      <c r="J20" s="7" t="s">
        <v>3426</v>
      </c>
      <c r="K20" s="7"/>
      <c r="L20" s="11" t="str">
        <f>HYPERLINK("http://slimages.macys.com/is/image/MCY/9965724 ")</f>
        <v xml:space="preserve">http://slimages.macys.com/is/image/MCY/9965724 </v>
      </c>
    </row>
    <row r="21" spans="1:12" ht="39.950000000000003" customHeight="1" x14ac:dyDescent="0.25">
      <c r="A21" s="6" t="s">
        <v>2230</v>
      </c>
      <c r="B21" s="7" t="s">
        <v>2231</v>
      </c>
      <c r="C21" s="8">
        <v>1</v>
      </c>
      <c r="D21" s="9">
        <v>64.989999999999995</v>
      </c>
      <c r="E21" s="8">
        <v>100071429</v>
      </c>
      <c r="F21" s="7" t="s">
        <v>3511</v>
      </c>
      <c r="G21" s="10" t="s">
        <v>3512</v>
      </c>
      <c r="H21" s="7" t="s">
        <v>3513</v>
      </c>
      <c r="I21" s="7" t="s">
        <v>4318</v>
      </c>
      <c r="J21" s="7" t="s">
        <v>3426</v>
      </c>
      <c r="K21" s="7" t="s">
        <v>4319</v>
      </c>
      <c r="L21" s="11" t="str">
        <f>HYPERLINK("http://slimages.macys.com/is/image/MCY/14337696 ")</f>
        <v xml:space="preserve">http://slimages.macys.com/is/image/MCY/14337696 </v>
      </c>
    </row>
    <row r="22" spans="1:12" ht="39.950000000000003" customHeight="1" x14ac:dyDescent="0.25">
      <c r="A22" s="6" t="s">
        <v>369</v>
      </c>
      <c r="B22" s="7" t="s">
        <v>370</v>
      </c>
      <c r="C22" s="8">
        <v>1</v>
      </c>
      <c r="D22" s="9">
        <v>49.99</v>
      </c>
      <c r="E22" s="8" t="s">
        <v>371</v>
      </c>
      <c r="F22" s="7" t="s">
        <v>3445</v>
      </c>
      <c r="G22" s="10" t="s">
        <v>1625</v>
      </c>
      <c r="H22" s="7" t="s">
        <v>3695</v>
      </c>
      <c r="I22" s="7" t="s">
        <v>2614</v>
      </c>
      <c r="J22" s="7" t="s">
        <v>3426</v>
      </c>
      <c r="K22" s="7" t="s">
        <v>372</v>
      </c>
      <c r="L22" s="11" t="str">
        <f>HYPERLINK("http://slimages.macys.com/is/image/MCY/8289253 ")</f>
        <v xml:space="preserve">http://slimages.macys.com/is/image/MCY/8289253 </v>
      </c>
    </row>
    <row r="23" spans="1:12" ht="39.950000000000003" customHeight="1" x14ac:dyDescent="0.25">
      <c r="A23" s="6" t="s">
        <v>373</v>
      </c>
      <c r="B23" s="7" t="s">
        <v>374</v>
      </c>
      <c r="C23" s="8">
        <v>1</v>
      </c>
      <c r="D23" s="9">
        <v>44.99</v>
      </c>
      <c r="E23" s="8" t="s">
        <v>375</v>
      </c>
      <c r="F23" s="7" t="s">
        <v>3610</v>
      </c>
      <c r="G23" s="10"/>
      <c r="H23" s="7" t="s">
        <v>3583</v>
      </c>
      <c r="I23" s="7" t="s">
        <v>376</v>
      </c>
      <c r="J23" s="7" t="s">
        <v>3426</v>
      </c>
      <c r="K23" s="7" t="s">
        <v>1639</v>
      </c>
      <c r="L23" s="11" t="str">
        <f>HYPERLINK("http://slimages.macys.com/is/image/MCY/2062937 ")</f>
        <v xml:space="preserve">http://slimages.macys.com/is/image/MCY/2062937 </v>
      </c>
    </row>
    <row r="24" spans="1:12" ht="39.950000000000003" customHeight="1" x14ac:dyDescent="0.25">
      <c r="A24" s="6" t="s">
        <v>377</v>
      </c>
      <c r="B24" s="7" t="s">
        <v>378</v>
      </c>
      <c r="C24" s="8">
        <v>1</v>
      </c>
      <c r="D24" s="9">
        <v>49.99</v>
      </c>
      <c r="E24" s="8" t="s">
        <v>379</v>
      </c>
      <c r="F24" s="7" t="s">
        <v>3445</v>
      </c>
      <c r="G24" s="10"/>
      <c r="H24" s="7" t="s">
        <v>3542</v>
      </c>
      <c r="I24" s="7" t="s">
        <v>3543</v>
      </c>
      <c r="J24" s="7"/>
      <c r="K24" s="7"/>
      <c r="L24" s="11" t="str">
        <f>HYPERLINK("http://slimages.macys.com/is/image/MCY/17961090 ")</f>
        <v xml:space="preserve">http://slimages.macys.com/is/image/MCY/17961090 </v>
      </c>
    </row>
    <row r="25" spans="1:12" ht="39.950000000000003" customHeight="1" x14ac:dyDescent="0.25">
      <c r="A25" s="6" t="s">
        <v>380</v>
      </c>
      <c r="B25" s="7" t="s">
        <v>381</v>
      </c>
      <c r="C25" s="8">
        <v>1</v>
      </c>
      <c r="D25" s="9">
        <v>59.99</v>
      </c>
      <c r="E25" s="8" t="s">
        <v>1299</v>
      </c>
      <c r="F25" s="7" t="s">
        <v>3445</v>
      </c>
      <c r="G25" s="10"/>
      <c r="H25" s="7" t="s">
        <v>3432</v>
      </c>
      <c r="I25" s="7" t="s">
        <v>3622</v>
      </c>
      <c r="J25" s="7" t="s">
        <v>3426</v>
      </c>
      <c r="K25" s="7" t="s">
        <v>3518</v>
      </c>
      <c r="L25" s="11" t="str">
        <f>HYPERLINK("http://slimages.macys.com/is/image/MCY/10249494 ")</f>
        <v xml:space="preserve">http://slimages.macys.com/is/image/MCY/10249494 </v>
      </c>
    </row>
    <row r="26" spans="1:12" ht="39.950000000000003" customHeight="1" x14ac:dyDescent="0.25">
      <c r="A26" s="6" t="s">
        <v>382</v>
      </c>
      <c r="B26" s="7" t="s">
        <v>383</v>
      </c>
      <c r="C26" s="8">
        <v>1</v>
      </c>
      <c r="D26" s="9">
        <v>33.99</v>
      </c>
      <c r="E26" s="8" t="s">
        <v>384</v>
      </c>
      <c r="F26" s="7" t="s">
        <v>3445</v>
      </c>
      <c r="G26" s="10"/>
      <c r="H26" s="7" t="s">
        <v>3542</v>
      </c>
      <c r="I26" s="7" t="s">
        <v>4143</v>
      </c>
      <c r="J26" s="7"/>
      <c r="K26" s="7"/>
      <c r="L26" s="11" t="str">
        <f>HYPERLINK("http://slimages.macys.com/is/image/MCY/11205382 ")</f>
        <v xml:space="preserve">http://slimages.macys.com/is/image/MCY/11205382 </v>
      </c>
    </row>
    <row r="27" spans="1:12" ht="39.950000000000003" customHeight="1" x14ac:dyDescent="0.25">
      <c r="A27" s="6" t="s">
        <v>385</v>
      </c>
      <c r="B27" s="7" t="s">
        <v>386</v>
      </c>
      <c r="C27" s="8">
        <v>1</v>
      </c>
      <c r="D27" s="9">
        <v>34.99</v>
      </c>
      <c r="E27" s="8" t="s">
        <v>387</v>
      </c>
      <c r="F27" s="7" t="s">
        <v>3431</v>
      </c>
      <c r="G27" s="10"/>
      <c r="H27" s="7" t="s">
        <v>3432</v>
      </c>
      <c r="I27" s="7" t="s">
        <v>3553</v>
      </c>
      <c r="J27" s="7" t="s">
        <v>3426</v>
      </c>
      <c r="K27" s="7"/>
      <c r="L27" s="11" t="str">
        <f>HYPERLINK("http://slimages.macys.com/is/image/MCY/9416688 ")</f>
        <v xml:space="preserve">http://slimages.macys.com/is/image/MCY/9416688 </v>
      </c>
    </row>
    <row r="28" spans="1:12" ht="39.950000000000003" customHeight="1" x14ac:dyDescent="0.25">
      <c r="A28" s="6" t="s">
        <v>388</v>
      </c>
      <c r="B28" s="7" t="s">
        <v>389</v>
      </c>
      <c r="C28" s="8">
        <v>1</v>
      </c>
      <c r="D28" s="9">
        <v>49.99</v>
      </c>
      <c r="E28" s="8" t="s">
        <v>390</v>
      </c>
      <c r="F28" s="7" t="s">
        <v>3445</v>
      </c>
      <c r="G28" s="10"/>
      <c r="H28" s="7" t="s">
        <v>3458</v>
      </c>
      <c r="I28" s="7" t="s">
        <v>3459</v>
      </c>
      <c r="J28" s="7" t="s">
        <v>3426</v>
      </c>
      <c r="K28" s="7" t="s">
        <v>3556</v>
      </c>
      <c r="L28" s="11" t="str">
        <f>HYPERLINK("http://slimages.macys.com/is/image/MCY/8432521 ")</f>
        <v xml:space="preserve">http://slimages.macys.com/is/image/MCY/8432521 </v>
      </c>
    </row>
    <row r="29" spans="1:12" ht="39.950000000000003" customHeight="1" x14ac:dyDescent="0.25">
      <c r="A29" s="6" t="s">
        <v>391</v>
      </c>
      <c r="B29" s="7" t="s">
        <v>392</v>
      </c>
      <c r="C29" s="8">
        <v>1</v>
      </c>
      <c r="D29" s="9">
        <v>29.99</v>
      </c>
      <c r="E29" s="8" t="s">
        <v>393</v>
      </c>
      <c r="F29" s="7" t="s">
        <v>3504</v>
      </c>
      <c r="G29" s="10"/>
      <c r="H29" s="7" t="s">
        <v>3583</v>
      </c>
      <c r="I29" s="7" t="s">
        <v>394</v>
      </c>
      <c r="J29" s="7" t="s">
        <v>3426</v>
      </c>
      <c r="K29" s="7" t="s">
        <v>3518</v>
      </c>
      <c r="L29" s="11" t="str">
        <f>HYPERLINK("http://slimages.macys.com/is/image/MCY/15605874 ")</f>
        <v xml:space="preserve">http://slimages.macys.com/is/image/MCY/15605874 </v>
      </c>
    </row>
    <row r="30" spans="1:12" ht="39.950000000000003" customHeight="1" x14ac:dyDescent="0.25">
      <c r="A30" s="6" t="s">
        <v>574</v>
      </c>
      <c r="B30" s="7" t="s">
        <v>575</v>
      </c>
      <c r="C30" s="8">
        <v>1</v>
      </c>
      <c r="D30" s="9">
        <v>47.99</v>
      </c>
      <c r="E30" s="8" t="s">
        <v>576</v>
      </c>
      <c r="F30" s="7" t="s">
        <v>3610</v>
      </c>
      <c r="G30" s="10" t="s">
        <v>4276</v>
      </c>
      <c r="H30" s="7" t="s">
        <v>3525</v>
      </c>
      <c r="I30" s="7" t="s">
        <v>3612</v>
      </c>
      <c r="J30" s="7" t="s">
        <v>3613</v>
      </c>
      <c r="K30" s="7"/>
      <c r="L30" s="11" t="str">
        <f>HYPERLINK("http://slimages.macys.com/is/image/MCY/9406085 ")</f>
        <v xml:space="preserve">http://slimages.macys.com/is/image/MCY/9406085 </v>
      </c>
    </row>
    <row r="31" spans="1:12" ht="39.950000000000003" customHeight="1" x14ac:dyDescent="0.25">
      <c r="A31" s="6" t="s">
        <v>395</v>
      </c>
      <c r="B31" s="7" t="s">
        <v>396</v>
      </c>
      <c r="C31" s="8">
        <v>1</v>
      </c>
      <c r="D31" s="9">
        <v>31.99</v>
      </c>
      <c r="E31" s="8">
        <v>63212</v>
      </c>
      <c r="F31" s="7" t="s">
        <v>3445</v>
      </c>
      <c r="G31" s="10"/>
      <c r="H31" s="7" t="s">
        <v>3559</v>
      </c>
      <c r="I31" s="7" t="s">
        <v>4213</v>
      </c>
      <c r="J31" s="7" t="s">
        <v>3564</v>
      </c>
      <c r="K31" s="7" t="s">
        <v>3492</v>
      </c>
      <c r="L31" s="11" t="str">
        <f>HYPERLINK("http://slimages.macys.com/is/image/MCY/15162538 ")</f>
        <v xml:space="preserve">http://slimages.macys.com/is/image/MCY/15162538 </v>
      </c>
    </row>
    <row r="32" spans="1:12" ht="39.950000000000003" customHeight="1" x14ac:dyDescent="0.25">
      <c r="A32" s="6" t="s">
        <v>2823</v>
      </c>
      <c r="B32" s="7" t="s">
        <v>2824</v>
      </c>
      <c r="C32" s="8">
        <v>1</v>
      </c>
      <c r="D32" s="9">
        <v>29.99</v>
      </c>
      <c r="E32" s="8">
        <v>2000000024</v>
      </c>
      <c r="F32" s="7" t="s">
        <v>3431</v>
      </c>
      <c r="G32" s="10"/>
      <c r="H32" s="7" t="s">
        <v>3478</v>
      </c>
      <c r="I32" s="7" t="s">
        <v>3517</v>
      </c>
      <c r="J32" s="7"/>
      <c r="K32" s="7"/>
      <c r="L32" s="11" t="str">
        <f>HYPERLINK("http://slimages.macys.com/is/image/MCY/17859316 ")</f>
        <v xml:space="preserve">http://slimages.macys.com/is/image/MCY/17859316 </v>
      </c>
    </row>
    <row r="33" spans="1:12" ht="39.950000000000003" customHeight="1" x14ac:dyDescent="0.25">
      <c r="A33" s="6" t="s">
        <v>1330</v>
      </c>
      <c r="B33" s="7" t="s">
        <v>1331</v>
      </c>
      <c r="C33" s="8">
        <v>1</v>
      </c>
      <c r="D33" s="9">
        <v>24.99</v>
      </c>
      <c r="E33" s="8">
        <v>52486</v>
      </c>
      <c r="F33" s="7" t="s">
        <v>3720</v>
      </c>
      <c r="G33" s="10"/>
      <c r="H33" s="7" t="s">
        <v>3490</v>
      </c>
      <c r="I33" s="7" t="s">
        <v>3649</v>
      </c>
      <c r="J33" s="7" t="s">
        <v>3426</v>
      </c>
      <c r="K33" s="7" t="s">
        <v>3518</v>
      </c>
      <c r="L33" s="11" t="str">
        <f>HYPERLINK("http://slimages.macys.com/is/image/MCY/9644106 ")</f>
        <v xml:space="preserve">http://slimages.macys.com/is/image/MCY/9644106 </v>
      </c>
    </row>
    <row r="34" spans="1:12" ht="39.950000000000003" customHeight="1" x14ac:dyDescent="0.25">
      <c r="A34" s="6" t="s">
        <v>397</v>
      </c>
      <c r="B34" s="7" t="s">
        <v>398</v>
      </c>
      <c r="C34" s="8">
        <v>1</v>
      </c>
      <c r="D34" s="9">
        <v>20.99</v>
      </c>
      <c r="E34" s="8" t="s">
        <v>399</v>
      </c>
      <c r="F34" s="7" t="s">
        <v>3445</v>
      </c>
      <c r="G34" s="10"/>
      <c r="H34" s="7" t="s">
        <v>3542</v>
      </c>
      <c r="I34" s="7" t="s">
        <v>3577</v>
      </c>
      <c r="J34" s="7" t="s">
        <v>3426</v>
      </c>
      <c r="K34" s="7" t="s">
        <v>3578</v>
      </c>
      <c r="L34" s="11" t="str">
        <f>HYPERLINK("http://slimages.macys.com/is/image/MCY/13742785 ")</f>
        <v xml:space="preserve">http://slimages.macys.com/is/image/MCY/13742785 </v>
      </c>
    </row>
    <row r="35" spans="1:12" ht="39.950000000000003" customHeight="1" x14ac:dyDescent="0.25">
      <c r="A35" s="6" t="s">
        <v>400</v>
      </c>
      <c r="B35" s="7" t="s">
        <v>401</v>
      </c>
      <c r="C35" s="8">
        <v>1</v>
      </c>
      <c r="D35" s="9">
        <v>29.99</v>
      </c>
      <c r="E35" s="8" t="s">
        <v>402</v>
      </c>
      <c r="F35" s="7"/>
      <c r="G35" s="10"/>
      <c r="H35" s="7" t="s">
        <v>3478</v>
      </c>
      <c r="I35" s="7" t="s">
        <v>2572</v>
      </c>
      <c r="J35" s="7"/>
      <c r="K35" s="7"/>
      <c r="L35" s="11" t="str">
        <f>HYPERLINK("http://slimages.macys.com/is/image/MCY/17073506 ")</f>
        <v xml:space="preserve">http://slimages.macys.com/is/image/MCY/17073506 </v>
      </c>
    </row>
    <row r="36" spans="1:12" ht="39.950000000000003" customHeight="1" x14ac:dyDescent="0.25">
      <c r="A36" s="6" t="s">
        <v>403</v>
      </c>
      <c r="B36" s="7" t="s">
        <v>404</v>
      </c>
      <c r="C36" s="8">
        <v>1</v>
      </c>
      <c r="D36" s="9">
        <v>17.989999999999998</v>
      </c>
      <c r="E36" s="8">
        <v>51921</v>
      </c>
      <c r="F36" s="7" t="s">
        <v>3463</v>
      </c>
      <c r="G36" s="10" t="s">
        <v>4383</v>
      </c>
      <c r="H36" s="7" t="s">
        <v>3490</v>
      </c>
      <c r="I36" s="7" t="s">
        <v>3649</v>
      </c>
      <c r="J36" s="7" t="s">
        <v>3426</v>
      </c>
      <c r="K36" s="7"/>
      <c r="L36" s="11" t="str">
        <f>HYPERLINK("http://slimages.macys.com/is/image/MCY/9057692 ")</f>
        <v xml:space="preserve">http://slimages.macys.com/is/image/MCY/9057692 </v>
      </c>
    </row>
    <row r="37" spans="1:12" ht="39.950000000000003" customHeight="1" x14ac:dyDescent="0.25">
      <c r="A37" s="6" t="s">
        <v>405</v>
      </c>
      <c r="B37" s="7" t="s">
        <v>406</v>
      </c>
      <c r="C37" s="8">
        <v>3</v>
      </c>
      <c r="D37" s="9">
        <v>119.97</v>
      </c>
      <c r="E37" s="8" t="s">
        <v>407</v>
      </c>
      <c r="F37" s="7" t="s">
        <v>3445</v>
      </c>
      <c r="G37" s="10"/>
      <c r="H37" s="7" t="s">
        <v>3458</v>
      </c>
      <c r="I37" s="7" t="s">
        <v>3459</v>
      </c>
      <c r="J37" s="7" t="s">
        <v>3426</v>
      </c>
      <c r="K37" s="7"/>
      <c r="L37" s="11" t="str">
        <f>HYPERLINK("http://slimages.macys.com/is/image/MCY/8532748 ")</f>
        <v xml:space="preserve">http://slimages.macys.com/is/image/MCY/8532748 </v>
      </c>
    </row>
    <row r="38" spans="1:12" ht="39.950000000000003" customHeight="1" x14ac:dyDescent="0.25">
      <c r="A38" s="6" t="s">
        <v>315</v>
      </c>
      <c r="B38" s="7" t="s">
        <v>316</v>
      </c>
      <c r="C38" s="8">
        <v>1</v>
      </c>
      <c r="D38" s="9">
        <v>14.99</v>
      </c>
      <c r="E38" s="8" t="s">
        <v>317</v>
      </c>
      <c r="F38" s="7" t="s">
        <v>4015</v>
      </c>
      <c r="G38" s="10" t="s">
        <v>4007</v>
      </c>
      <c r="H38" s="7" t="s">
        <v>3490</v>
      </c>
      <c r="I38" s="7" t="s">
        <v>4008</v>
      </c>
      <c r="J38" s="7"/>
      <c r="K38" s="7"/>
      <c r="L38" s="11" t="str">
        <f>HYPERLINK("http://slimages.macys.com/is/image/MCY/17620635 ")</f>
        <v xml:space="preserve">http://slimages.macys.com/is/image/MCY/17620635 </v>
      </c>
    </row>
    <row r="39" spans="1:12" ht="39.950000000000003" customHeight="1" x14ac:dyDescent="0.25">
      <c r="A39" s="6" t="s">
        <v>408</v>
      </c>
      <c r="B39" s="7" t="s">
        <v>409</v>
      </c>
      <c r="C39" s="8">
        <v>2</v>
      </c>
      <c r="D39" s="9">
        <v>15.98</v>
      </c>
      <c r="E39" s="8" t="s">
        <v>410</v>
      </c>
      <c r="F39" s="7" t="s">
        <v>3938</v>
      </c>
      <c r="G39" s="10" t="s">
        <v>3653</v>
      </c>
      <c r="H39" s="7" t="s">
        <v>3635</v>
      </c>
      <c r="I39" s="7" t="s">
        <v>3508</v>
      </c>
      <c r="J39" s="7"/>
      <c r="K39" s="7"/>
      <c r="L39" s="11" t="str">
        <f>HYPERLINK("http://slimages.macys.com/is/image/MCY/17492917 ")</f>
        <v xml:space="preserve">http://slimages.macys.com/is/image/MCY/17492917 </v>
      </c>
    </row>
    <row r="40" spans="1:12" ht="39.950000000000003" customHeight="1" x14ac:dyDescent="0.25">
      <c r="A40" s="6" t="s">
        <v>3856</v>
      </c>
      <c r="B40" s="7" t="s">
        <v>3857</v>
      </c>
      <c r="C40" s="8">
        <v>1</v>
      </c>
      <c r="D40" s="9">
        <v>9.99</v>
      </c>
      <c r="E40" s="8" t="s">
        <v>3858</v>
      </c>
      <c r="F40" s="7" t="s">
        <v>3484</v>
      </c>
      <c r="G40" s="10"/>
      <c r="H40" s="7" t="s">
        <v>3490</v>
      </c>
      <c r="I40" s="7" t="s">
        <v>3859</v>
      </c>
      <c r="J40" s="7"/>
      <c r="K40" s="7"/>
      <c r="L40" s="11" t="str">
        <f>HYPERLINK("http://slimages.macys.com/is/image/MCY/17995889 ")</f>
        <v xml:space="preserve">http://slimages.macys.com/is/image/MCY/17995889 </v>
      </c>
    </row>
    <row r="41" spans="1:12" ht="39.950000000000003" customHeight="1" x14ac:dyDescent="0.25">
      <c r="A41" s="6" t="s">
        <v>411</v>
      </c>
      <c r="B41" s="7" t="s">
        <v>412</v>
      </c>
      <c r="C41" s="8">
        <v>1</v>
      </c>
      <c r="D41" s="9">
        <v>14.99</v>
      </c>
      <c r="E41" s="8">
        <v>1007060600</v>
      </c>
      <c r="F41" s="7" t="s">
        <v>3496</v>
      </c>
      <c r="G41" s="10"/>
      <c r="H41" s="7" t="s">
        <v>3654</v>
      </c>
      <c r="I41" s="7" t="s">
        <v>3840</v>
      </c>
      <c r="J41" s="7" t="s">
        <v>3426</v>
      </c>
      <c r="K41" s="7" t="s">
        <v>4216</v>
      </c>
      <c r="L41" s="11" t="str">
        <f>HYPERLINK("http://slimages.macys.com/is/image/MCY/10338565 ")</f>
        <v xml:space="preserve">http://slimages.macys.com/is/image/MCY/10338565 </v>
      </c>
    </row>
    <row r="42" spans="1:12" ht="39.950000000000003" customHeight="1" x14ac:dyDescent="0.25">
      <c r="A42" s="6" t="s">
        <v>413</v>
      </c>
      <c r="B42" s="7" t="s">
        <v>414</v>
      </c>
      <c r="C42" s="8">
        <v>1</v>
      </c>
      <c r="D42" s="9">
        <v>5.99</v>
      </c>
      <c r="E42" s="8" t="s">
        <v>415</v>
      </c>
      <c r="F42" s="7" t="s">
        <v>4096</v>
      </c>
      <c r="G42" s="10" t="s">
        <v>4031</v>
      </c>
      <c r="H42" s="7" t="s">
        <v>3654</v>
      </c>
      <c r="I42" s="7" t="s">
        <v>3840</v>
      </c>
      <c r="J42" s="7" t="s">
        <v>3426</v>
      </c>
      <c r="K42" s="7" t="s">
        <v>3492</v>
      </c>
      <c r="L42" s="11" t="str">
        <f>HYPERLINK("http://slimages.macys.com/is/image/MCY/12723265 ")</f>
        <v xml:space="preserve">http://slimages.macys.com/is/image/MCY/12723265 </v>
      </c>
    </row>
    <row r="43" spans="1:12" ht="39.950000000000003" customHeight="1" x14ac:dyDescent="0.25">
      <c r="A43" s="6" t="s">
        <v>416</v>
      </c>
      <c r="B43" s="7" t="s">
        <v>417</v>
      </c>
      <c r="C43" s="8">
        <v>1</v>
      </c>
      <c r="D43" s="9">
        <v>2.99</v>
      </c>
      <c r="E43" s="8" t="s">
        <v>418</v>
      </c>
      <c r="F43" s="7" t="s">
        <v>3445</v>
      </c>
      <c r="G43" s="10" t="s">
        <v>4031</v>
      </c>
      <c r="H43" s="7" t="s">
        <v>3635</v>
      </c>
      <c r="I43" s="7" t="s">
        <v>3517</v>
      </c>
      <c r="J43" s="7" t="s">
        <v>3426</v>
      </c>
      <c r="K43" s="7"/>
      <c r="L43" s="11" t="str">
        <f>HYPERLINK("http://slimages.macys.com/is/image/MCY/13909832 ")</f>
        <v xml:space="preserve">http://slimages.macys.com/is/image/MCY/13909832 </v>
      </c>
    </row>
    <row r="44" spans="1:12" ht="39.950000000000003" customHeight="1" x14ac:dyDescent="0.25">
      <c r="A44" s="6" t="s">
        <v>419</v>
      </c>
      <c r="B44" s="7" t="s">
        <v>420</v>
      </c>
      <c r="C44" s="8">
        <v>1</v>
      </c>
      <c r="D44" s="9">
        <v>129.99</v>
      </c>
      <c r="E44" s="8" t="s">
        <v>421</v>
      </c>
      <c r="F44" s="7" t="s">
        <v>3463</v>
      </c>
      <c r="G44" s="10"/>
      <c r="H44" s="7" t="s">
        <v>3490</v>
      </c>
      <c r="I44" s="7" t="s">
        <v>4354</v>
      </c>
      <c r="J44" s="7"/>
      <c r="K44" s="7"/>
      <c r="L44" s="11"/>
    </row>
    <row r="45" spans="1:12" ht="39.950000000000003" customHeight="1" x14ac:dyDescent="0.25">
      <c r="A45" s="6" t="s">
        <v>422</v>
      </c>
      <c r="B45" s="7" t="s">
        <v>423</v>
      </c>
      <c r="C45" s="8">
        <v>1</v>
      </c>
      <c r="D45" s="9">
        <v>97.99</v>
      </c>
      <c r="E45" s="8" t="s">
        <v>424</v>
      </c>
      <c r="F45" s="7" t="s">
        <v>3938</v>
      </c>
      <c r="G45" s="10"/>
      <c r="H45" s="7" t="s">
        <v>3490</v>
      </c>
      <c r="I45" s="7" t="s">
        <v>3553</v>
      </c>
      <c r="J45" s="7"/>
      <c r="K45" s="7"/>
      <c r="L45" s="11"/>
    </row>
    <row r="46" spans="1:12" ht="39.950000000000003" customHeight="1" x14ac:dyDescent="0.25">
      <c r="A46" s="6" t="s">
        <v>3667</v>
      </c>
      <c r="B46" s="7" t="s">
        <v>3668</v>
      </c>
      <c r="C46" s="8">
        <v>2</v>
      </c>
      <c r="D46" s="9">
        <v>80</v>
      </c>
      <c r="E46" s="8"/>
      <c r="F46" s="7" t="s">
        <v>3610</v>
      </c>
      <c r="G46" s="10" t="s">
        <v>3489</v>
      </c>
      <c r="H46" s="7" t="s">
        <v>3669</v>
      </c>
      <c r="I46" s="7" t="s">
        <v>3670</v>
      </c>
      <c r="J46" s="7"/>
      <c r="K46" s="7"/>
      <c r="L46" s="11"/>
    </row>
    <row r="47" spans="1:12" ht="39.950000000000003" customHeight="1" x14ac:dyDescent="0.25">
      <c r="A47" s="6" t="s">
        <v>425</v>
      </c>
      <c r="B47" s="7" t="s">
        <v>426</v>
      </c>
      <c r="C47" s="8">
        <v>1</v>
      </c>
      <c r="D47" s="9">
        <v>49.99</v>
      </c>
      <c r="E47" s="8" t="s">
        <v>427</v>
      </c>
      <c r="F47" s="7" t="s">
        <v>3755</v>
      </c>
      <c r="G47" s="10"/>
      <c r="H47" s="7" t="s">
        <v>3542</v>
      </c>
      <c r="I47" s="7" t="s">
        <v>4234</v>
      </c>
      <c r="J47" s="7"/>
      <c r="K47" s="7"/>
      <c r="L47" s="11"/>
    </row>
    <row r="48" spans="1:12" ht="39.950000000000003" customHeight="1" x14ac:dyDescent="0.25">
      <c r="A48" s="6" t="s">
        <v>428</v>
      </c>
      <c r="B48" s="7" t="s">
        <v>429</v>
      </c>
      <c r="C48" s="8">
        <v>1</v>
      </c>
      <c r="D48" s="9">
        <v>34.99</v>
      </c>
      <c r="E48" s="8" t="s">
        <v>430</v>
      </c>
      <c r="F48" s="7" t="s">
        <v>7</v>
      </c>
      <c r="G48" s="10"/>
      <c r="H48" s="7" t="s">
        <v>3452</v>
      </c>
      <c r="I48" s="7" t="s">
        <v>3453</v>
      </c>
      <c r="J48" s="7"/>
      <c r="K48" s="7"/>
      <c r="L48" s="11"/>
    </row>
    <row r="49" spans="1:12" ht="39.950000000000003" customHeight="1" x14ac:dyDescent="0.25">
      <c r="A49" s="6" t="s">
        <v>431</v>
      </c>
      <c r="B49" s="7" t="s">
        <v>432</v>
      </c>
      <c r="C49" s="8">
        <v>1</v>
      </c>
      <c r="D49" s="9">
        <v>22.99</v>
      </c>
      <c r="E49" s="8" t="s">
        <v>433</v>
      </c>
      <c r="F49" s="7" t="s">
        <v>3804</v>
      </c>
      <c r="G49" s="10"/>
      <c r="H49" s="7" t="s">
        <v>3583</v>
      </c>
      <c r="I49" s="7" t="s">
        <v>2139</v>
      </c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434</v>
      </c>
      <c r="B2" s="7" t="s">
        <v>435</v>
      </c>
      <c r="C2" s="8">
        <v>1</v>
      </c>
      <c r="D2" s="9">
        <v>129.99</v>
      </c>
      <c r="E2" s="8">
        <v>221496</v>
      </c>
      <c r="F2" s="7" t="s">
        <v>3938</v>
      </c>
      <c r="G2" s="10"/>
      <c r="H2" s="7" t="s">
        <v>3688</v>
      </c>
      <c r="I2" s="7" t="s">
        <v>436</v>
      </c>
      <c r="J2" s="7" t="s">
        <v>3426</v>
      </c>
      <c r="K2" s="7" t="s">
        <v>3690</v>
      </c>
      <c r="L2" s="11" t="str">
        <f>HYPERLINK("http://slimages.macys.com/is/image/MCY/16910149 ")</f>
        <v xml:space="preserve">http://slimages.macys.com/is/image/MCY/16910149 </v>
      </c>
    </row>
    <row r="3" spans="1:12" ht="39.950000000000003" customHeight="1" x14ac:dyDescent="0.25">
      <c r="A3" s="6" t="s">
        <v>437</v>
      </c>
      <c r="B3" s="7" t="s">
        <v>438</v>
      </c>
      <c r="C3" s="8">
        <v>1</v>
      </c>
      <c r="D3" s="9">
        <v>199.99</v>
      </c>
      <c r="E3" s="8" t="s">
        <v>439</v>
      </c>
      <c r="F3" s="7" t="s">
        <v>3431</v>
      </c>
      <c r="G3" s="10"/>
      <c r="H3" s="7" t="s">
        <v>3440</v>
      </c>
      <c r="I3" s="7" t="s">
        <v>3446</v>
      </c>
      <c r="J3" s="7"/>
      <c r="K3" s="7"/>
      <c r="L3" s="11" t="str">
        <f>HYPERLINK("http://slimages.macys.com/is/image/MCY/16688298 ")</f>
        <v xml:space="preserve">http://slimages.macys.com/is/image/MCY/16688298 </v>
      </c>
    </row>
    <row r="4" spans="1:12" ht="39.950000000000003" customHeight="1" x14ac:dyDescent="0.25">
      <c r="A4" s="6" t="s">
        <v>3201</v>
      </c>
      <c r="B4" s="7" t="s">
        <v>438</v>
      </c>
      <c r="C4" s="8">
        <v>1</v>
      </c>
      <c r="D4" s="9">
        <v>199.99</v>
      </c>
      <c r="E4" s="8" t="s">
        <v>3203</v>
      </c>
      <c r="F4" s="7" t="s">
        <v>3431</v>
      </c>
      <c r="G4" s="10"/>
      <c r="H4" s="7" t="s">
        <v>3440</v>
      </c>
      <c r="I4" s="7" t="s">
        <v>3446</v>
      </c>
      <c r="J4" s="7" t="s">
        <v>3426</v>
      </c>
      <c r="K4" s="7"/>
      <c r="L4" s="11" t="str">
        <f>HYPERLINK("http://slimages.macys.com/is/image/MCY/16688295 ")</f>
        <v xml:space="preserve">http://slimages.macys.com/is/image/MCY/16688295 </v>
      </c>
    </row>
    <row r="5" spans="1:12" ht="39.950000000000003" customHeight="1" x14ac:dyDescent="0.25">
      <c r="A5" s="6" t="s">
        <v>440</v>
      </c>
      <c r="B5" s="7" t="s">
        <v>441</v>
      </c>
      <c r="C5" s="8">
        <v>1</v>
      </c>
      <c r="D5" s="9">
        <v>99.99</v>
      </c>
      <c r="E5" s="8" t="s">
        <v>442</v>
      </c>
      <c r="F5" s="7" t="s">
        <v>3445</v>
      </c>
      <c r="G5" s="10"/>
      <c r="H5" s="7" t="s">
        <v>3490</v>
      </c>
      <c r="I5" s="7" t="s">
        <v>2483</v>
      </c>
      <c r="J5" s="7" t="s">
        <v>3426</v>
      </c>
      <c r="K5" s="7" t="s">
        <v>3518</v>
      </c>
      <c r="L5" s="11" t="str">
        <f>HYPERLINK("http://slimages.macys.com/is/image/MCY/8799838 ")</f>
        <v xml:space="preserve">http://slimages.macys.com/is/image/MCY/8799838 </v>
      </c>
    </row>
    <row r="6" spans="1:12" ht="39.950000000000003" customHeight="1" x14ac:dyDescent="0.25">
      <c r="A6" s="6" t="s">
        <v>1919</v>
      </c>
      <c r="B6" s="7" t="s">
        <v>1920</v>
      </c>
      <c r="C6" s="8">
        <v>1</v>
      </c>
      <c r="D6" s="9">
        <v>99.99</v>
      </c>
      <c r="E6" s="8">
        <v>61131</v>
      </c>
      <c r="F6" s="7" t="s">
        <v>3445</v>
      </c>
      <c r="G6" s="10"/>
      <c r="H6" s="7" t="s">
        <v>3559</v>
      </c>
      <c r="I6" s="7" t="s">
        <v>3560</v>
      </c>
      <c r="J6" s="7" t="s">
        <v>3426</v>
      </c>
      <c r="K6" s="7" t="s">
        <v>3518</v>
      </c>
      <c r="L6" s="11" t="str">
        <f>HYPERLINK("http://slimages.macys.com/is/image/MCY/15866395 ")</f>
        <v xml:space="preserve">http://slimages.macys.com/is/image/MCY/15866395 </v>
      </c>
    </row>
    <row r="7" spans="1:12" ht="39.950000000000003" customHeight="1" x14ac:dyDescent="0.25">
      <c r="A7" s="6" t="s">
        <v>2785</v>
      </c>
      <c r="B7" s="7" t="s">
        <v>2786</v>
      </c>
      <c r="C7" s="8">
        <v>1</v>
      </c>
      <c r="D7" s="9">
        <v>99.99</v>
      </c>
      <c r="E7" s="8" t="s">
        <v>2787</v>
      </c>
      <c r="F7" s="7" t="s">
        <v>4304</v>
      </c>
      <c r="G7" s="10"/>
      <c r="H7" s="7" t="s">
        <v>3467</v>
      </c>
      <c r="I7" s="7" t="s">
        <v>4333</v>
      </c>
      <c r="J7" s="7" t="s">
        <v>3426</v>
      </c>
      <c r="K7" s="7" t="s">
        <v>2788</v>
      </c>
      <c r="L7" s="11" t="str">
        <f>HYPERLINK("http://slimages.macys.com/is/image/MCY/16533936 ")</f>
        <v xml:space="preserve">http://slimages.macys.com/is/image/MCY/16533936 </v>
      </c>
    </row>
    <row r="8" spans="1:12" ht="39.950000000000003" customHeight="1" x14ac:dyDescent="0.25">
      <c r="A8" s="6" t="s">
        <v>443</v>
      </c>
      <c r="B8" s="7" t="s">
        <v>444</v>
      </c>
      <c r="C8" s="8">
        <v>1</v>
      </c>
      <c r="D8" s="9">
        <v>78.11</v>
      </c>
      <c r="E8" s="8" t="s">
        <v>445</v>
      </c>
      <c r="F8" s="7"/>
      <c r="G8" s="10"/>
      <c r="H8" s="7" t="s">
        <v>3452</v>
      </c>
      <c r="I8" s="7" t="s">
        <v>3453</v>
      </c>
      <c r="J8" s="7" t="s">
        <v>3426</v>
      </c>
      <c r="K8" s="7" t="s">
        <v>446</v>
      </c>
      <c r="L8" s="11" t="str">
        <f>HYPERLINK("http://slimages.macys.com/is/image/MCY/16633328 ")</f>
        <v xml:space="preserve">http://slimages.macys.com/is/image/MCY/16633328 </v>
      </c>
    </row>
    <row r="9" spans="1:12" ht="39.950000000000003" customHeight="1" x14ac:dyDescent="0.25">
      <c r="A9" s="6" t="s">
        <v>447</v>
      </c>
      <c r="B9" s="7" t="s">
        <v>448</v>
      </c>
      <c r="C9" s="8">
        <v>1</v>
      </c>
      <c r="D9" s="9">
        <v>89.99</v>
      </c>
      <c r="E9" s="8">
        <v>111029</v>
      </c>
      <c r="F9" s="7" t="s">
        <v>3451</v>
      </c>
      <c r="G9" s="10" t="s">
        <v>3439</v>
      </c>
      <c r="H9" s="7" t="s">
        <v>2471</v>
      </c>
      <c r="I9" s="7" t="s">
        <v>2575</v>
      </c>
      <c r="J9" s="7" t="s">
        <v>3426</v>
      </c>
      <c r="K9" s="7" t="s">
        <v>3492</v>
      </c>
      <c r="L9" s="11" t="str">
        <f>HYPERLINK("http://slimages.macys.com/is/image/MCY/13286715 ")</f>
        <v xml:space="preserve">http://slimages.macys.com/is/image/MCY/13286715 </v>
      </c>
    </row>
    <row r="10" spans="1:12" ht="39.950000000000003" customHeight="1" x14ac:dyDescent="0.25">
      <c r="A10" s="6" t="s">
        <v>449</v>
      </c>
      <c r="B10" s="7" t="s">
        <v>450</v>
      </c>
      <c r="C10" s="8">
        <v>1</v>
      </c>
      <c r="D10" s="9">
        <v>79.989999999999995</v>
      </c>
      <c r="E10" s="8" t="s">
        <v>451</v>
      </c>
      <c r="F10" s="7" t="s">
        <v>3511</v>
      </c>
      <c r="G10" s="10"/>
      <c r="H10" s="7" t="s">
        <v>3440</v>
      </c>
      <c r="I10" s="7" t="s">
        <v>3683</v>
      </c>
      <c r="J10" s="7" t="s">
        <v>3426</v>
      </c>
      <c r="K10" s="7" t="s">
        <v>2674</v>
      </c>
      <c r="L10" s="11" t="str">
        <f>HYPERLINK("http://slimages.macys.com/is/image/MCY/15767056 ")</f>
        <v xml:space="preserve">http://slimages.macys.com/is/image/MCY/15767056 </v>
      </c>
    </row>
    <row r="11" spans="1:12" ht="39.950000000000003" customHeight="1" x14ac:dyDescent="0.25">
      <c r="A11" s="6" t="s">
        <v>452</v>
      </c>
      <c r="B11" s="7" t="s">
        <v>453</v>
      </c>
      <c r="C11" s="8">
        <v>1</v>
      </c>
      <c r="D11" s="9">
        <v>79.989999999999995</v>
      </c>
      <c r="E11" s="8" t="s">
        <v>454</v>
      </c>
      <c r="F11" s="7" t="s">
        <v>3504</v>
      </c>
      <c r="G11" s="10"/>
      <c r="H11" s="7" t="s">
        <v>3440</v>
      </c>
      <c r="I11" s="7" t="s">
        <v>3446</v>
      </c>
      <c r="J11" s="7"/>
      <c r="K11" s="7"/>
      <c r="L11" s="11" t="str">
        <f>HYPERLINK("http://slimages.macys.com/is/image/MCY/16947777 ")</f>
        <v xml:space="preserve">http://slimages.macys.com/is/image/MCY/16947777 </v>
      </c>
    </row>
    <row r="12" spans="1:12" ht="39.950000000000003" customHeight="1" x14ac:dyDescent="0.25">
      <c r="A12" s="6" t="s">
        <v>455</v>
      </c>
      <c r="B12" s="7" t="s">
        <v>456</v>
      </c>
      <c r="C12" s="8">
        <v>1</v>
      </c>
      <c r="D12" s="9">
        <v>41.99</v>
      </c>
      <c r="E12" s="8" t="s">
        <v>457</v>
      </c>
      <c r="F12" s="7" t="s">
        <v>3484</v>
      </c>
      <c r="G12" s="10"/>
      <c r="H12" s="7" t="s">
        <v>3542</v>
      </c>
      <c r="I12" s="7" t="s">
        <v>4374</v>
      </c>
      <c r="J12" s="7" t="s">
        <v>3426</v>
      </c>
      <c r="K12" s="7" t="s">
        <v>4300</v>
      </c>
      <c r="L12" s="11" t="str">
        <f>HYPERLINK("http://slimages.macys.com/is/image/MCY/10721521 ")</f>
        <v xml:space="preserve">http://slimages.macys.com/is/image/MCY/10721521 </v>
      </c>
    </row>
    <row r="13" spans="1:12" ht="39.950000000000003" customHeight="1" x14ac:dyDescent="0.25">
      <c r="A13" s="6" t="s">
        <v>458</v>
      </c>
      <c r="B13" s="7" t="s">
        <v>459</v>
      </c>
      <c r="C13" s="8">
        <v>1</v>
      </c>
      <c r="D13" s="9">
        <v>58.99</v>
      </c>
      <c r="E13" s="8" t="s">
        <v>460</v>
      </c>
      <c r="F13" s="7" t="s">
        <v>3610</v>
      </c>
      <c r="G13" s="10" t="s">
        <v>3641</v>
      </c>
      <c r="H13" s="7" t="s">
        <v>3490</v>
      </c>
      <c r="I13" s="7" t="s">
        <v>461</v>
      </c>
      <c r="J13" s="7" t="s">
        <v>3426</v>
      </c>
      <c r="K13" s="7" t="s">
        <v>462</v>
      </c>
      <c r="L13" s="11" t="str">
        <f>HYPERLINK("http://slimages.macys.com/is/image/MCY/13932489 ")</f>
        <v xml:space="preserve">http://slimages.macys.com/is/image/MCY/13932489 </v>
      </c>
    </row>
    <row r="14" spans="1:12" ht="39.950000000000003" customHeight="1" x14ac:dyDescent="0.25">
      <c r="A14" s="6" t="s">
        <v>463</v>
      </c>
      <c r="B14" s="7" t="s">
        <v>464</v>
      </c>
      <c r="C14" s="8">
        <v>1</v>
      </c>
      <c r="D14" s="9">
        <v>59.99</v>
      </c>
      <c r="E14" s="8" t="s">
        <v>1299</v>
      </c>
      <c r="F14" s="7" t="s">
        <v>3804</v>
      </c>
      <c r="G14" s="10"/>
      <c r="H14" s="7" t="s">
        <v>3432</v>
      </c>
      <c r="I14" s="7" t="s">
        <v>3622</v>
      </c>
      <c r="J14" s="7" t="s">
        <v>3426</v>
      </c>
      <c r="K14" s="7" t="s">
        <v>3518</v>
      </c>
      <c r="L14" s="11" t="str">
        <f>HYPERLINK("http://slimages.macys.com/is/image/MCY/9965724 ")</f>
        <v xml:space="preserve">http://slimages.macys.com/is/image/MCY/9965724 </v>
      </c>
    </row>
    <row r="15" spans="1:12" ht="39.950000000000003" customHeight="1" x14ac:dyDescent="0.25">
      <c r="A15" s="6" t="s">
        <v>1297</v>
      </c>
      <c r="B15" s="7" t="s">
        <v>1298</v>
      </c>
      <c r="C15" s="8">
        <v>1</v>
      </c>
      <c r="D15" s="9">
        <v>59.99</v>
      </c>
      <c r="E15" s="8" t="s">
        <v>1299</v>
      </c>
      <c r="F15" s="7" t="s">
        <v>3423</v>
      </c>
      <c r="G15" s="10"/>
      <c r="H15" s="7" t="s">
        <v>3432</v>
      </c>
      <c r="I15" s="7" t="s">
        <v>3622</v>
      </c>
      <c r="J15" s="7" t="s">
        <v>3426</v>
      </c>
      <c r="K15" s="7" t="s">
        <v>3518</v>
      </c>
      <c r="L15" s="11" t="str">
        <f>HYPERLINK("http://slimages.macys.com/is/image/MCY/17870451 ")</f>
        <v xml:space="preserve">http://slimages.macys.com/is/image/MCY/17870451 </v>
      </c>
    </row>
    <row r="16" spans="1:12" ht="39.950000000000003" customHeight="1" x14ac:dyDescent="0.25">
      <c r="A16" s="6" t="s">
        <v>465</v>
      </c>
      <c r="B16" s="7" t="s">
        <v>466</v>
      </c>
      <c r="C16" s="8">
        <v>2</v>
      </c>
      <c r="D16" s="9">
        <v>59.98</v>
      </c>
      <c r="E16" s="8" t="s">
        <v>467</v>
      </c>
      <c r="F16" s="7" t="s">
        <v>3286</v>
      </c>
      <c r="G16" s="10" t="s">
        <v>3489</v>
      </c>
      <c r="H16" s="7" t="s">
        <v>3432</v>
      </c>
      <c r="I16" s="7" t="s">
        <v>3536</v>
      </c>
      <c r="J16" s="7" t="s">
        <v>3426</v>
      </c>
      <c r="K16" s="7" t="s">
        <v>1985</v>
      </c>
      <c r="L16" s="11" t="str">
        <f>HYPERLINK("http://slimages.macys.com/is/image/MCY/16276140 ")</f>
        <v xml:space="preserve">http://slimages.macys.com/is/image/MCY/16276140 </v>
      </c>
    </row>
    <row r="17" spans="1:12" ht="39.950000000000003" customHeight="1" x14ac:dyDescent="0.25">
      <c r="A17" s="6" t="s">
        <v>468</v>
      </c>
      <c r="B17" s="7" t="s">
        <v>469</v>
      </c>
      <c r="C17" s="8">
        <v>1</v>
      </c>
      <c r="D17" s="9">
        <v>79.989999999999995</v>
      </c>
      <c r="E17" s="8" t="s">
        <v>470</v>
      </c>
      <c r="F17" s="7" t="s">
        <v>3431</v>
      </c>
      <c r="G17" s="10"/>
      <c r="H17" s="7" t="s">
        <v>3440</v>
      </c>
      <c r="I17" s="7" t="s">
        <v>3446</v>
      </c>
      <c r="J17" s="7"/>
      <c r="K17" s="7"/>
      <c r="L17" s="11" t="str">
        <f>HYPERLINK("http://slimages.macys.com/is/image/MCY/16688302 ")</f>
        <v xml:space="preserve">http://slimages.macys.com/is/image/MCY/16688302 </v>
      </c>
    </row>
    <row r="18" spans="1:12" ht="39.950000000000003" customHeight="1" x14ac:dyDescent="0.25">
      <c r="A18" s="6" t="s">
        <v>471</v>
      </c>
      <c r="B18" s="7" t="s">
        <v>472</v>
      </c>
      <c r="C18" s="8">
        <v>1</v>
      </c>
      <c r="D18" s="9">
        <v>34.99</v>
      </c>
      <c r="E18" s="8" t="s">
        <v>473</v>
      </c>
      <c r="F18" s="7" t="s">
        <v>3496</v>
      </c>
      <c r="G18" s="10"/>
      <c r="H18" s="7" t="s">
        <v>3432</v>
      </c>
      <c r="I18" s="7" t="s">
        <v>4119</v>
      </c>
      <c r="J18" s="7"/>
      <c r="K18" s="7"/>
      <c r="L18" s="11" t="str">
        <f>HYPERLINK("http://slimages.macys.com/is/image/MCY/17754553 ")</f>
        <v xml:space="preserve">http://slimages.macys.com/is/image/MCY/17754553 </v>
      </c>
    </row>
    <row r="19" spans="1:12" ht="39.950000000000003" customHeight="1" x14ac:dyDescent="0.25">
      <c r="A19" s="6" t="s">
        <v>474</v>
      </c>
      <c r="B19" s="7" t="s">
        <v>475</v>
      </c>
      <c r="C19" s="8">
        <v>1</v>
      </c>
      <c r="D19" s="9">
        <v>39.99</v>
      </c>
      <c r="E19" s="8" t="s">
        <v>476</v>
      </c>
      <c r="F19" s="7" t="s">
        <v>3755</v>
      </c>
      <c r="G19" s="10"/>
      <c r="H19" s="7" t="s">
        <v>3568</v>
      </c>
      <c r="I19" s="7" t="s">
        <v>2700</v>
      </c>
      <c r="J19" s="7" t="s">
        <v>3426</v>
      </c>
      <c r="K19" s="7" t="s">
        <v>3518</v>
      </c>
      <c r="L19" s="11" t="str">
        <f>HYPERLINK("http://slimages.macys.com/is/image/MCY/14718151 ")</f>
        <v xml:space="preserve">http://slimages.macys.com/is/image/MCY/14718151 </v>
      </c>
    </row>
    <row r="20" spans="1:12" ht="39.950000000000003" customHeight="1" x14ac:dyDescent="0.25">
      <c r="A20" s="6" t="s">
        <v>3801</v>
      </c>
      <c r="B20" s="7" t="s">
        <v>3802</v>
      </c>
      <c r="C20" s="8">
        <v>1</v>
      </c>
      <c r="D20" s="9">
        <v>29.99</v>
      </c>
      <c r="E20" s="8" t="s">
        <v>3803</v>
      </c>
      <c r="F20" s="7" t="s">
        <v>3804</v>
      </c>
      <c r="G20" s="10"/>
      <c r="H20" s="7" t="s">
        <v>3490</v>
      </c>
      <c r="I20" s="7" t="s">
        <v>3805</v>
      </c>
      <c r="J20" s="7"/>
      <c r="K20" s="7"/>
      <c r="L20" s="11" t="str">
        <f>HYPERLINK("http://slimages.macys.com/is/image/MCY/17566480 ")</f>
        <v xml:space="preserve">http://slimages.macys.com/is/image/MCY/17566480 </v>
      </c>
    </row>
    <row r="21" spans="1:12" ht="39.950000000000003" customHeight="1" x14ac:dyDescent="0.25">
      <c r="A21" s="6" t="s">
        <v>477</v>
      </c>
      <c r="B21" s="7" t="s">
        <v>478</v>
      </c>
      <c r="C21" s="8">
        <v>2</v>
      </c>
      <c r="D21" s="9">
        <v>57.98</v>
      </c>
      <c r="E21" s="8">
        <v>17790</v>
      </c>
      <c r="F21" s="7" t="s">
        <v>4167</v>
      </c>
      <c r="G21" s="10" t="s">
        <v>3489</v>
      </c>
      <c r="H21" s="7" t="s">
        <v>3490</v>
      </c>
      <c r="I21" s="7" t="s">
        <v>3943</v>
      </c>
      <c r="J21" s="7" t="s">
        <v>3426</v>
      </c>
      <c r="K21" s="7" t="s">
        <v>3518</v>
      </c>
      <c r="L21" s="11" t="str">
        <f>HYPERLINK("http://slimages.macys.com/is/image/MCY/9316073 ")</f>
        <v xml:space="preserve">http://slimages.macys.com/is/image/MCY/9316073 </v>
      </c>
    </row>
    <row r="22" spans="1:12" ht="39.950000000000003" customHeight="1" x14ac:dyDescent="0.25">
      <c r="A22" s="6" t="s">
        <v>479</v>
      </c>
      <c r="B22" s="7" t="s">
        <v>480</v>
      </c>
      <c r="C22" s="8">
        <v>2</v>
      </c>
      <c r="D22" s="9">
        <v>139.97999999999999</v>
      </c>
      <c r="E22" s="8" t="s">
        <v>481</v>
      </c>
      <c r="F22" s="7" t="s">
        <v>3431</v>
      </c>
      <c r="G22" s="10"/>
      <c r="H22" s="7" t="s">
        <v>3440</v>
      </c>
      <c r="I22" s="7" t="s">
        <v>3446</v>
      </c>
      <c r="J22" s="7"/>
      <c r="K22" s="7"/>
      <c r="L22" s="11" t="str">
        <f>HYPERLINK("http://slimages.macys.com/is/image/MCY/16688299 ")</f>
        <v xml:space="preserve">http://slimages.macys.com/is/image/MCY/16688299 </v>
      </c>
    </row>
    <row r="23" spans="1:12" ht="39.950000000000003" customHeight="1" x14ac:dyDescent="0.25">
      <c r="A23" s="6" t="s">
        <v>127</v>
      </c>
      <c r="B23" s="7" t="s">
        <v>128</v>
      </c>
      <c r="C23" s="8">
        <v>1</v>
      </c>
      <c r="D23" s="9">
        <v>29.99</v>
      </c>
      <c r="E23" s="8" t="s">
        <v>129</v>
      </c>
      <c r="F23" s="7" t="s">
        <v>3496</v>
      </c>
      <c r="G23" s="10"/>
      <c r="H23" s="7" t="s">
        <v>3478</v>
      </c>
      <c r="I23" s="7" t="s">
        <v>3517</v>
      </c>
      <c r="J23" s="7" t="s">
        <v>3426</v>
      </c>
      <c r="K23" s="7" t="s">
        <v>3592</v>
      </c>
      <c r="L23" s="11" t="str">
        <f>HYPERLINK("http://slimages.macys.com/is/image/MCY/9700679 ")</f>
        <v xml:space="preserve">http://slimages.macys.com/is/image/MCY/9700679 </v>
      </c>
    </row>
    <row r="24" spans="1:12" ht="39.950000000000003" customHeight="1" x14ac:dyDescent="0.25">
      <c r="A24" s="6" t="s">
        <v>482</v>
      </c>
      <c r="B24" s="7" t="s">
        <v>483</v>
      </c>
      <c r="C24" s="8">
        <v>1</v>
      </c>
      <c r="D24" s="9">
        <v>29.99</v>
      </c>
      <c r="E24" s="8" t="s">
        <v>484</v>
      </c>
      <c r="F24" s="7"/>
      <c r="G24" s="10"/>
      <c r="H24" s="7" t="s">
        <v>3478</v>
      </c>
      <c r="I24" s="7" t="s">
        <v>3815</v>
      </c>
      <c r="J24" s="7" t="s">
        <v>3426</v>
      </c>
      <c r="K24" s="7" t="s">
        <v>3518</v>
      </c>
      <c r="L24" s="11" t="str">
        <f>HYPERLINK("http://slimages.macys.com/is/image/MCY/14911488 ")</f>
        <v xml:space="preserve">http://slimages.macys.com/is/image/MCY/14911488 </v>
      </c>
    </row>
    <row r="25" spans="1:12" ht="39.950000000000003" customHeight="1" x14ac:dyDescent="0.25">
      <c r="A25" s="6" t="s">
        <v>485</v>
      </c>
      <c r="B25" s="7" t="s">
        <v>486</v>
      </c>
      <c r="C25" s="8">
        <v>1</v>
      </c>
      <c r="D25" s="9">
        <v>24.99</v>
      </c>
      <c r="E25" s="8">
        <v>55086</v>
      </c>
      <c r="F25" s="7" t="s">
        <v>3431</v>
      </c>
      <c r="G25" s="10"/>
      <c r="H25" s="7" t="s">
        <v>3490</v>
      </c>
      <c r="I25" s="7" t="s">
        <v>3649</v>
      </c>
      <c r="J25" s="7" t="s">
        <v>3426</v>
      </c>
      <c r="K25" s="7" t="s">
        <v>3518</v>
      </c>
      <c r="L25" s="11" t="str">
        <f>HYPERLINK("http://slimages.macys.com/is/image/MCY/9644106 ")</f>
        <v xml:space="preserve">http://slimages.macys.com/is/image/MCY/9644106 </v>
      </c>
    </row>
    <row r="26" spans="1:12" ht="39.950000000000003" customHeight="1" x14ac:dyDescent="0.25">
      <c r="A26" s="6" t="s">
        <v>487</v>
      </c>
      <c r="B26" s="7" t="s">
        <v>488</v>
      </c>
      <c r="C26" s="8">
        <v>1</v>
      </c>
      <c r="D26" s="9">
        <v>24.99</v>
      </c>
      <c r="E26" s="8">
        <v>55980</v>
      </c>
      <c r="F26" s="7" t="s">
        <v>3431</v>
      </c>
      <c r="G26" s="10"/>
      <c r="H26" s="7" t="s">
        <v>3490</v>
      </c>
      <c r="I26" s="7" t="s">
        <v>3649</v>
      </c>
      <c r="J26" s="7" t="s">
        <v>3426</v>
      </c>
      <c r="K26" s="7" t="s">
        <v>3518</v>
      </c>
      <c r="L26" s="11" t="str">
        <f>HYPERLINK("http://slimages.macys.com/is/image/MCY/14663202 ")</f>
        <v xml:space="preserve">http://slimages.macys.com/is/image/MCY/14663202 </v>
      </c>
    </row>
    <row r="27" spans="1:12" ht="39.950000000000003" customHeight="1" x14ac:dyDescent="0.25">
      <c r="A27" s="6" t="s">
        <v>489</v>
      </c>
      <c r="B27" s="7" t="s">
        <v>490</v>
      </c>
      <c r="C27" s="8">
        <v>1</v>
      </c>
      <c r="D27" s="9">
        <v>19.989999999999998</v>
      </c>
      <c r="E27" s="8" t="s">
        <v>491</v>
      </c>
      <c r="F27" s="7" t="s">
        <v>3804</v>
      </c>
      <c r="G27" s="10" t="s">
        <v>492</v>
      </c>
      <c r="H27" s="7" t="s">
        <v>3568</v>
      </c>
      <c r="I27" s="7" t="s">
        <v>4388</v>
      </c>
      <c r="J27" s="7" t="s">
        <v>3426</v>
      </c>
      <c r="K27" s="7" t="s">
        <v>4251</v>
      </c>
      <c r="L27" s="11" t="str">
        <f>HYPERLINK("http://slimages.macys.com/is/image/MCY/9962009 ")</f>
        <v xml:space="preserve">http://slimages.macys.com/is/image/MCY/9962009 </v>
      </c>
    </row>
    <row r="28" spans="1:12" ht="39.950000000000003" customHeight="1" x14ac:dyDescent="0.25">
      <c r="A28" s="6" t="s">
        <v>493</v>
      </c>
      <c r="B28" s="7" t="s">
        <v>494</v>
      </c>
      <c r="C28" s="8">
        <v>1</v>
      </c>
      <c r="D28" s="9">
        <v>19.989999999999998</v>
      </c>
      <c r="E28" s="8">
        <v>51752</v>
      </c>
      <c r="F28" s="7" t="s">
        <v>3431</v>
      </c>
      <c r="G28" s="10"/>
      <c r="H28" s="7" t="s">
        <v>3490</v>
      </c>
      <c r="I28" s="7" t="s">
        <v>3649</v>
      </c>
      <c r="J28" s="7" t="s">
        <v>3426</v>
      </c>
      <c r="K28" s="7"/>
      <c r="L28" s="11" t="str">
        <f>HYPERLINK("http://slimages.macys.com/is/image/MCY/9057742 ")</f>
        <v xml:space="preserve">http://slimages.macys.com/is/image/MCY/9057742 </v>
      </c>
    </row>
    <row r="29" spans="1:12" ht="39.950000000000003" customHeight="1" x14ac:dyDescent="0.25">
      <c r="A29" s="6" t="s">
        <v>495</v>
      </c>
      <c r="B29" s="7" t="s">
        <v>496</v>
      </c>
      <c r="C29" s="8">
        <v>1</v>
      </c>
      <c r="D29" s="9">
        <v>24.99</v>
      </c>
      <c r="E29" s="8" t="s">
        <v>497</v>
      </c>
      <c r="F29" s="7" t="s">
        <v>3535</v>
      </c>
      <c r="G29" s="10"/>
      <c r="H29" s="7" t="s">
        <v>3583</v>
      </c>
      <c r="I29" s="7" t="s">
        <v>498</v>
      </c>
      <c r="J29" s="7" t="s">
        <v>3426</v>
      </c>
      <c r="K29" s="7" t="s">
        <v>499</v>
      </c>
      <c r="L29" s="11" t="str">
        <f>HYPERLINK("http://slimages.macys.com/is/image/MCY/12298863 ")</f>
        <v xml:space="preserve">http://slimages.macys.com/is/image/MCY/12298863 </v>
      </c>
    </row>
    <row r="30" spans="1:12" ht="39.950000000000003" customHeight="1" x14ac:dyDescent="0.25">
      <c r="A30" s="6" t="s">
        <v>500</v>
      </c>
      <c r="B30" s="7" t="s">
        <v>501</v>
      </c>
      <c r="C30" s="8">
        <v>2</v>
      </c>
      <c r="D30" s="9">
        <v>69.98</v>
      </c>
      <c r="E30" s="8" t="s">
        <v>502</v>
      </c>
      <c r="F30" s="7" t="s">
        <v>3445</v>
      </c>
      <c r="G30" s="10" t="s">
        <v>3547</v>
      </c>
      <c r="H30" s="7" t="s">
        <v>3525</v>
      </c>
      <c r="I30" s="7" t="s">
        <v>3548</v>
      </c>
      <c r="J30" s="7" t="s">
        <v>3564</v>
      </c>
      <c r="K30" s="7"/>
      <c r="L30" s="11" t="str">
        <f>HYPERLINK("http://slimages.macys.com/is/image/MCY/12384987 ")</f>
        <v xml:space="preserve">http://slimages.macys.com/is/image/MCY/12384987 </v>
      </c>
    </row>
    <row r="31" spans="1:12" ht="39.950000000000003" customHeight="1" x14ac:dyDescent="0.25">
      <c r="A31" s="6" t="s">
        <v>503</v>
      </c>
      <c r="B31" s="7" t="s">
        <v>504</v>
      </c>
      <c r="C31" s="8">
        <v>1</v>
      </c>
      <c r="D31" s="9">
        <v>24.99</v>
      </c>
      <c r="E31" s="8">
        <v>64212</v>
      </c>
      <c r="F31" s="7" t="s">
        <v>3445</v>
      </c>
      <c r="G31" s="10"/>
      <c r="H31" s="7" t="s">
        <v>3559</v>
      </c>
      <c r="I31" s="7" t="s">
        <v>3560</v>
      </c>
      <c r="J31" s="7" t="s">
        <v>3564</v>
      </c>
      <c r="K31" s="7" t="s">
        <v>505</v>
      </c>
      <c r="L31" s="11" t="str">
        <f>HYPERLINK("http://slimages.macys.com/is/image/MCY/14724460 ")</f>
        <v xml:space="preserve">http://slimages.macys.com/is/image/MCY/14724460 </v>
      </c>
    </row>
    <row r="32" spans="1:12" ht="39.950000000000003" customHeight="1" x14ac:dyDescent="0.25">
      <c r="A32" s="6" t="s">
        <v>506</v>
      </c>
      <c r="B32" s="7" t="s">
        <v>507</v>
      </c>
      <c r="C32" s="8">
        <v>1</v>
      </c>
      <c r="D32" s="9">
        <v>24.99</v>
      </c>
      <c r="E32" s="8">
        <v>31101</v>
      </c>
      <c r="F32" s="7" t="s">
        <v>4313</v>
      </c>
      <c r="G32" s="10"/>
      <c r="H32" s="7" t="s">
        <v>3559</v>
      </c>
      <c r="I32" s="7" t="s">
        <v>3560</v>
      </c>
      <c r="J32" s="7" t="s">
        <v>3564</v>
      </c>
      <c r="K32" s="7" t="s">
        <v>508</v>
      </c>
      <c r="L32" s="11" t="str">
        <f>HYPERLINK("http://slimages.macys.com/is/image/MCY/16148734 ")</f>
        <v xml:space="preserve">http://slimages.macys.com/is/image/MCY/16148734 </v>
      </c>
    </row>
    <row r="33" spans="1:12" ht="39.950000000000003" customHeight="1" x14ac:dyDescent="0.25">
      <c r="A33" s="6" t="s">
        <v>509</v>
      </c>
      <c r="B33" s="7" t="s">
        <v>510</v>
      </c>
      <c r="C33" s="8">
        <v>1</v>
      </c>
      <c r="D33" s="9">
        <v>18.989999999999998</v>
      </c>
      <c r="E33" s="8">
        <v>48068</v>
      </c>
      <c r="F33" s="7" t="s">
        <v>3511</v>
      </c>
      <c r="G33" s="10"/>
      <c r="H33" s="7" t="s">
        <v>3490</v>
      </c>
      <c r="I33" s="7" t="s">
        <v>3649</v>
      </c>
      <c r="J33" s="7" t="s">
        <v>3426</v>
      </c>
      <c r="K33" s="7" t="s">
        <v>3518</v>
      </c>
      <c r="L33" s="11" t="str">
        <f>HYPERLINK("http://slimages.macys.com/is/image/MCY/12936375 ")</f>
        <v xml:space="preserve">http://slimages.macys.com/is/image/MCY/12936375 </v>
      </c>
    </row>
    <row r="34" spans="1:12" ht="39.950000000000003" customHeight="1" x14ac:dyDescent="0.25">
      <c r="A34" s="6" t="s">
        <v>511</v>
      </c>
      <c r="B34" s="7" t="s">
        <v>512</v>
      </c>
      <c r="C34" s="8">
        <v>2</v>
      </c>
      <c r="D34" s="9">
        <v>59.98</v>
      </c>
      <c r="E34" s="8" t="s">
        <v>513</v>
      </c>
      <c r="F34" s="7" t="s">
        <v>3445</v>
      </c>
      <c r="G34" s="10" t="s">
        <v>3547</v>
      </c>
      <c r="H34" s="7" t="s">
        <v>3525</v>
      </c>
      <c r="I34" s="7" t="s">
        <v>3548</v>
      </c>
      <c r="J34" s="7" t="s">
        <v>3564</v>
      </c>
      <c r="K34" s="7"/>
      <c r="L34" s="11" t="str">
        <f>HYPERLINK("http://slimages.macys.com/is/image/MCY/12384987 ")</f>
        <v xml:space="preserve">http://slimages.macys.com/is/image/MCY/12384987 </v>
      </c>
    </row>
    <row r="35" spans="1:12" ht="39.950000000000003" customHeight="1" x14ac:dyDescent="0.25">
      <c r="A35" s="6" t="s">
        <v>4004</v>
      </c>
      <c r="B35" s="7" t="s">
        <v>4005</v>
      </c>
      <c r="C35" s="8">
        <v>1</v>
      </c>
      <c r="D35" s="9">
        <v>14.99</v>
      </c>
      <c r="E35" s="8" t="s">
        <v>4006</v>
      </c>
      <c r="F35" s="7" t="s">
        <v>3938</v>
      </c>
      <c r="G35" s="10" t="s">
        <v>4007</v>
      </c>
      <c r="H35" s="7" t="s">
        <v>3490</v>
      </c>
      <c r="I35" s="7" t="s">
        <v>4008</v>
      </c>
      <c r="J35" s="7"/>
      <c r="K35" s="7"/>
      <c r="L35" s="11" t="str">
        <f>HYPERLINK("http://slimages.macys.com/is/image/MCY/17620637 ")</f>
        <v xml:space="preserve">http://slimages.macys.com/is/image/MCY/17620637 </v>
      </c>
    </row>
    <row r="36" spans="1:12" ht="39.950000000000003" customHeight="1" x14ac:dyDescent="0.25">
      <c r="A36" s="6" t="s">
        <v>514</v>
      </c>
      <c r="B36" s="7" t="s">
        <v>515</v>
      </c>
      <c r="C36" s="8">
        <v>4</v>
      </c>
      <c r="D36" s="9">
        <v>67.959999999999994</v>
      </c>
      <c r="E36" s="8" t="s">
        <v>516</v>
      </c>
      <c r="F36" s="7" t="s">
        <v>4325</v>
      </c>
      <c r="G36" s="10" t="s">
        <v>3653</v>
      </c>
      <c r="H36" s="7" t="s">
        <v>3654</v>
      </c>
      <c r="I36" s="7" t="s">
        <v>3655</v>
      </c>
      <c r="J36" s="7" t="s">
        <v>3426</v>
      </c>
      <c r="K36" s="7" t="s">
        <v>3492</v>
      </c>
      <c r="L36" s="11" t="str">
        <f>HYPERLINK("http://slimages.macys.com/is/image/MCY/12737864 ")</f>
        <v xml:space="preserve">http://slimages.macys.com/is/image/MCY/12737864 </v>
      </c>
    </row>
    <row r="37" spans="1:12" ht="39.950000000000003" customHeight="1" x14ac:dyDescent="0.25">
      <c r="A37" s="6" t="s">
        <v>517</v>
      </c>
      <c r="B37" s="7" t="s">
        <v>518</v>
      </c>
      <c r="C37" s="8">
        <v>4</v>
      </c>
      <c r="D37" s="9">
        <v>67.959999999999994</v>
      </c>
      <c r="E37" s="8" t="s">
        <v>519</v>
      </c>
      <c r="F37" s="7" t="s">
        <v>3431</v>
      </c>
      <c r="G37" s="10" t="s">
        <v>3653</v>
      </c>
      <c r="H37" s="7" t="s">
        <v>3654</v>
      </c>
      <c r="I37" s="7" t="s">
        <v>3655</v>
      </c>
      <c r="J37" s="7" t="s">
        <v>3426</v>
      </c>
      <c r="K37" s="7" t="s">
        <v>3492</v>
      </c>
      <c r="L37" s="11" t="str">
        <f>HYPERLINK("http://slimages.macys.com/is/image/MCY/12737864 ")</f>
        <v xml:space="preserve">http://slimages.macys.com/is/image/MCY/12737864 </v>
      </c>
    </row>
    <row r="38" spans="1:12" ht="39.950000000000003" customHeight="1" x14ac:dyDescent="0.25">
      <c r="A38" s="6" t="s">
        <v>520</v>
      </c>
      <c r="B38" s="7" t="s">
        <v>521</v>
      </c>
      <c r="C38" s="8">
        <v>2</v>
      </c>
      <c r="D38" s="9">
        <v>299.98</v>
      </c>
      <c r="E38" s="8" t="s">
        <v>522</v>
      </c>
      <c r="F38" s="7" t="s">
        <v>3804</v>
      </c>
      <c r="G38" s="10" t="s">
        <v>523</v>
      </c>
      <c r="H38" s="7" t="s">
        <v>3688</v>
      </c>
      <c r="I38" s="7" t="s">
        <v>3871</v>
      </c>
      <c r="J38" s="7"/>
      <c r="K38" s="7"/>
      <c r="L38" s="11"/>
    </row>
    <row r="39" spans="1:12" ht="39.950000000000003" customHeight="1" x14ac:dyDescent="0.25">
      <c r="A39" s="6" t="s">
        <v>524</v>
      </c>
      <c r="B39" s="7" t="s">
        <v>525</v>
      </c>
      <c r="C39" s="8">
        <v>1</v>
      </c>
      <c r="D39" s="9">
        <v>49.99</v>
      </c>
      <c r="E39" s="8">
        <v>2000001185</v>
      </c>
      <c r="F39" s="7" t="s">
        <v>3463</v>
      </c>
      <c r="G39" s="10"/>
      <c r="H39" s="7" t="s">
        <v>3478</v>
      </c>
      <c r="I39" s="7" t="s">
        <v>3517</v>
      </c>
      <c r="J39" s="7"/>
      <c r="K39" s="7"/>
      <c r="L39" s="11"/>
    </row>
    <row r="40" spans="1:12" ht="39.950000000000003" customHeight="1" x14ac:dyDescent="0.25">
      <c r="A40" s="6"/>
      <c r="B40" s="7"/>
      <c r="C40" s="8"/>
      <c r="D40" s="9"/>
      <c r="E40" s="8"/>
      <c r="F40" s="7"/>
      <c r="G40" s="10"/>
      <c r="H40" s="7"/>
      <c r="I40" s="7"/>
      <c r="J40" s="7"/>
      <c r="K40" s="7"/>
      <c r="L40" s="11"/>
    </row>
    <row r="41" spans="1:12" ht="39.950000000000003" customHeight="1" x14ac:dyDescent="0.25">
      <c r="A41" s="6"/>
      <c r="B41" s="7"/>
      <c r="C41" s="8"/>
      <c r="D41" s="9"/>
      <c r="E41" s="8"/>
      <c r="F41" s="7"/>
      <c r="G41" s="10"/>
      <c r="H41" s="7"/>
      <c r="I41" s="7"/>
      <c r="J41" s="7"/>
      <c r="K41" s="7"/>
      <c r="L41" s="11"/>
    </row>
    <row r="42" spans="1:12" ht="39.950000000000003" customHeight="1" x14ac:dyDescent="0.25">
      <c r="A42" s="6"/>
      <c r="B42" s="7"/>
      <c r="C42" s="8"/>
      <c r="D42" s="9"/>
      <c r="E42" s="8"/>
      <c r="F42" s="7"/>
      <c r="G42" s="10"/>
      <c r="H42" s="7"/>
      <c r="I42" s="7"/>
      <c r="J42" s="7"/>
      <c r="K42" s="7"/>
      <c r="L42" s="11"/>
    </row>
    <row r="43" spans="1:12" ht="39.950000000000003" customHeight="1" x14ac:dyDescent="0.25">
      <c r="A43" s="6"/>
      <c r="B43" s="7"/>
      <c r="C43" s="8"/>
      <c r="D43" s="9"/>
      <c r="E43" s="8"/>
      <c r="F43" s="7"/>
      <c r="G43" s="10"/>
      <c r="H43" s="7"/>
      <c r="I43" s="7"/>
      <c r="J43" s="7"/>
      <c r="K43" s="7"/>
      <c r="L43" s="11"/>
    </row>
    <row r="44" spans="1:12" ht="39.950000000000003" customHeight="1" x14ac:dyDescent="0.25">
      <c r="A44" s="6"/>
      <c r="B44" s="7"/>
      <c r="C44" s="8"/>
      <c r="D44" s="9"/>
      <c r="E44" s="8"/>
      <c r="F44" s="7"/>
      <c r="G44" s="10"/>
      <c r="H44" s="7"/>
      <c r="I44" s="7"/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B1" sqref="B1"/>
    </sheetView>
  </sheetViews>
  <sheetFormatPr defaultRowHeight="39.950000000000003" customHeight="1" x14ac:dyDescent="0.25"/>
  <cols>
    <col min="1" max="1" width="14.28515625" customWidth="1"/>
    <col min="2" max="2" width="50.85546875" customWidth="1"/>
    <col min="3" max="3" width="15" customWidth="1"/>
    <col min="4" max="4" width="10.28515625" customWidth="1"/>
    <col min="5" max="5" width="16.57031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3868</v>
      </c>
      <c r="B2" s="7" t="s">
        <v>3869</v>
      </c>
      <c r="C2" s="8">
        <v>1</v>
      </c>
      <c r="D2" s="9">
        <v>299.99</v>
      </c>
      <c r="E2" s="8" t="s">
        <v>3870</v>
      </c>
      <c r="F2" s="7" t="s">
        <v>3720</v>
      </c>
      <c r="G2" s="10"/>
      <c r="H2" s="7" t="s">
        <v>3688</v>
      </c>
      <c r="I2" s="7" t="s">
        <v>3871</v>
      </c>
      <c r="J2" s="7" t="s">
        <v>3426</v>
      </c>
      <c r="K2" s="7" t="s">
        <v>3811</v>
      </c>
      <c r="L2" s="11" t="str">
        <f>HYPERLINK("http://slimages.macys.com/is/image/MCY/14737293 ")</f>
        <v xml:space="preserve">http://slimages.macys.com/is/image/MCY/14737293 </v>
      </c>
    </row>
    <row r="3" spans="1:12" ht="39.950000000000003" customHeight="1" x14ac:dyDescent="0.25">
      <c r="A3" s="6" t="s">
        <v>3872</v>
      </c>
      <c r="B3" s="7" t="s">
        <v>3873</v>
      </c>
      <c r="C3" s="8">
        <v>1</v>
      </c>
      <c r="D3" s="9">
        <v>329.99</v>
      </c>
      <c r="E3" s="8" t="s">
        <v>3874</v>
      </c>
      <c r="F3" s="7" t="s">
        <v>3445</v>
      </c>
      <c r="G3" s="10"/>
      <c r="H3" s="7" t="s">
        <v>3440</v>
      </c>
      <c r="I3" s="7" t="s">
        <v>3683</v>
      </c>
      <c r="J3" s="7" t="s">
        <v>3426</v>
      </c>
      <c r="K3" s="7" t="s">
        <v>3875</v>
      </c>
      <c r="L3" s="11" t="str">
        <f>HYPERLINK("http://slimages.macys.com/is/image/MCY/11639878 ")</f>
        <v xml:space="preserve">http://slimages.macys.com/is/image/MCY/11639878 </v>
      </c>
    </row>
    <row r="4" spans="1:12" ht="39.950000000000003" customHeight="1" x14ac:dyDescent="0.25">
      <c r="A4" s="6" t="s">
        <v>3876</v>
      </c>
      <c r="B4" s="7" t="s">
        <v>3877</v>
      </c>
      <c r="C4" s="8">
        <v>1</v>
      </c>
      <c r="D4" s="9">
        <v>78.11</v>
      </c>
      <c r="E4" s="8" t="s">
        <v>3878</v>
      </c>
      <c r="F4" s="7"/>
      <c r="G4" s="10"/>
      <c r="H4" s="7" t="s">
        <v>3676</v>
      </c>
      <c r="I4" s="7" t="s">
        <v>3548</v>
      </c>
      <c r="J4" s="7" t="s">
        <v>3564</v>
      </c>
      <c r="K4" s="7" t="s">
        <v>3879</v>
      </c>
      <c r="L4" s="11" t="str">
        <f>HYPERLINK("http://slimages.macys.com/is/image/MCY/3974561 ")</f>
        <v xml:space="preserve">http://slimages.macys.com/is/image/MCY/3974561 </v>
      </c>
    </row>
    <row r="5" spans="1:12" ht="39.950000000000003" customHeight="1" x14ac:dyDescent="0.25">
      <c r="A5" s="6" t="s">
        <v>3880</v>
      </c>
      <c r="B5" s="7" t="s">
        <v>3881</v>
      </c>
      <c r="C5" s="8">
        <v>1</v>
      </c>
      <c r="D5" s="9">
        <v>179.99</v>
      </c>
      <c r="E5" s="8">
        <v>81393</v>
      </c>
      <c r="F5" s="7" t="s">
        <v>3755</v>
      </c>
      <c r="G5" s="10"/>
      <c r="H5" s="7" t="s">
        <v>3478</v>
      </c>
      <c r="I5" s="7" t="s">
        <v>3479</v>
      </c>
      <c r="J5" s="7" t="s">
        <v>3426</v>
      </c>
      <c r="K5" s="7" t="s">
        <v>3882</v>
      </c>
      <c r="L5" s="11" t="str">
        <f>HYPERLINK("http://slimages.macys.com/is/image/MCY/14789644 ")</f>
        <v xml:space="preserve">http://slimages.macys.com/is/image/MCY/14789644 </v>
      </c>
    </row>
    <row r="6" spans="1:12" ht="39.950000000000003" customHeight="1" x14ac:dyDescent="0.25">
      <c r="A6" s="6" t="s">
        <v>3883</v>
      </c>
      <c r="B6" s="7" t="s">
        <v>3884</v>
      </c>
      <c r="C6" s="8">
        <v>1</v>
      </c>
      <c r="D6" s="9">
        <v>199.99</v>
      </c>
      <c r="E6" s="8" t="s">
        <v>3885</v>
      </c>
      <c r="F6" s="7" t="s">
        <v>3451</v>
      </c>
      <c r="G6" s="10"/>
      <c r="H6" s="7" t="s">
        <v>3452</v>
      </c>
      <c r="I6" s="7" t="s">
        <v>3453</v>
      </c>
      <c r="J6" s="7" t="s">
        <v>3426</v>
      </c>
      <c r="K6" s="7"/>
      <c r="L6" s="11" t="str">
        <f>HYPERLINK("http://slimages.macys.com/is/image/MCY/13441238 ")</f>
        <v xml:space="preserve">http://slimages.macys.com/is/image/MCY/13441238 </v>
      </c>
    </row>
    <row r="7" spans="1:12" ht="39.950000000000003" customHeight="1" x14ac:dyDescent="0.25">
      <c r="A7" s="6" t="s">
        <v>3886</v>
      </c>
      <c r="B7" s="7" t="s">
        <v>3887</v>
      </c>
      <c r="C7" s="8">
        <v>1</v>
      </c>
      <c r="D7" s="9">
        <v>179.99</v>
      </c>
      <c r="E7" s="8">
        <v>82205</v>
      </c>
      <c r="F7" s="7" t="s">
        <v>3477</v>
      </c>
      <c r="G7" s="10"/>
      <c r="H7" s="7" t="s">
        <v>3478</v>
      </c>
      <c r="I7" s="7" t="s">
        <v>3479</v>
      </c>
      <c r="J7" s="7" t="s">
        <v>3426</v>
      </c>
      <c r="K7" s="7" t="s">
        <v>3888</v>
      </c>
      <c r="L7" s="11" t="str">
        <f>HYPERLINK("http://slimages.macys.com/is/image/MCY/16578696 ")</f>
        <v xml:space="preserve">http://slimages.macys.com/is/image/MCY/16578696 </v>
      </c>
    </row>
    <row r="8" spans="1:12" ht="39.950000000000003" customHeight="1" x14ac:dyDescent="0.25">
      <c r="A8" s="6" t="s">
        <v>3889</v>
      </c>
      <c r="B8" s="7" t="s">
        <v>3890</v>
      </c>
      <c r="C8" s="8">
        <v>1</v>
      </c>
      <c r="D8" s="9">
        <v>149.99</v>
      </c>
      <c r="E8" s="8" t="s">
        <v>3891</v>
      </c>
      <c r="F8" s="7" t="s">
        <v>3892</v>
      </c>
      <c r="G8" s="10" t="s">
        <v>3893</v>
      </c>
      <c r="H8" s="7" t="s">
        <v>3688</v>
      </c>
      <c r="I8" s="7" t="s">
        <v>3871</v>
      </c>
      <c r="J8" s="7" t="s">
        <v>3426</v>
      </c>
      <c r="K8" s="7" t="s">
        <v>3811</v>
      </c>
      <c r="L8" s="11" t="str">
        <f>HYPERLINK("http://slimages.macys.com/is/image/MCY/12937160 ")</f>
        <v xml:space="preserve">http://slimages.macys.com/is/image/MCY/12937160 </v>
      </c>
    </row>
    <row r="9" spans="1:12" ht="39.950000000000003" customHeight="1" x14ac:dyDescent="0.25">
      <c r="A9" s="6" t="s">
        <v>3894</v>
      </c>
      <c r="B9" s="7" t="s">
        <v>3895</v>
      </c>
      <c r="C9" s="8">
        <v>1</v>
      </c>
      <c r="D9" s="9">
        <v>78.11</v>
      </c>
      <c r="E9" s="8" t="s">
        <v>3896</v>
      </c>
      <c r="F9" s="7"/>
      <c r="G9" s="10"/>
      <c r="H9" s="7" t="s">
        <v>3572</v>
      </c>
      <c r="I9" s="7" t="s">
        <v>3897</v>
      </c>
      <c r="J9" s="7"/>
      <c r="K9" s="7"/>
      <c r="L9" s="11" t="str">
        <f>HYPERLINK("http://slimages.macys.com/is/image/MCY/16792609 ")</f>
        <v xml:space="preserve">http://slimages.macys.com/is/image/MCY/16792609 </v>
      </c>
    </row>
    <row r="10" spans="1:12" ht="39.950000000000003" customHeight="1" x14ac:dyDescent="0.25">
      <c r="A10" s="6" t="s">
        <v>3898</v>
      </c>
      <c r="B10" s="7" t="s">
        <v>3899</v>
      </c>
      <c r="C10" s="8">
        <v>1</v>
      </c>
      <c r="D10" s="9">
        <v>120.99</v>
      </c>
      <c r="E10" s="8" t="s">
        <v>3900</v>
      </c>
      <c r="F10" s="7" t="s">
        <v>3431</v>
      </c>
      <c r="G10" s="10"/>
      <c r="H10" s="7" t="s">
        <v>3478</v>
      </c>
      <c r="I10" s="7" t="s">
        <v>3553</v>
      </c>
      <c r="J10" s="7" t="s">
        <v>3426</v>
      </c>
      <c r="K10" s="7" t="s">
        <v>3901</v>
      </c>
      <c r="L10" s="11" t="str">
        <f>HYPERLINK("http://slimages.macys.com/is/image/MCY/14429948 ")</f>
        <v xml:space="preserve">http://slimages.macys.com/is/image/MCY/14429948 </v>
      </c>
    </row>
    <row r="11" spans="1:12" ht="39.950000000000003" customHeight="1" x14ac:dyDescent="0.25">
      <c r="A11" s="6" t="s">
        <v>3902</v>
      </c>
      <c r="B11" s="7" t="s">
        <v>3903</v>
      </c>
      <c r="C11" s="8">
        <v>1</v>
      </c>
      <c r="D11" s="9">
        <v>117.99</v>
      </c>
      <c r="E11" s="8" t="s">
        <v>3904</v>
      </c>
      <c r="F11" s="7" t="s">
        <v>3423</v>
      </c>
      <c r="G11" s="10"/>
      <c r="H11" s="7" t="s">
        <v>3478</v>
      </c>
      <c r="I11" s="7" t="s">
        <v>3905</v>
      </c>
      <c r="J11" s="7" t="s">
        <v>3426</v>
      </c>
      <c r="K11" s="7" t="s">
        <v>3518</v>
      </c>
      <c r="L11" s="11" t="str">
        <f>HYPERLINK("http://slimages.macys.com/is/image/MCY/15941086 ")</f>
        <v xml:space="preserve">http://slimages.macys.com/is/image/MCY/15941086 </v>
      </c>
    </row>
    <row r="12" spans="1:12" ht="39.950000000000003" customHeight="1" x14ac:dyDescent="0.25">
      <c r="A12" s="6" t="s">
        <v>3906</v>
      </c>
      <c r="B12" s="7" t="s">
        <v>3907</v>
      </c>
      <c r="C12" s="8">
        <v>1</v>
      </c>
      <c r="D12" s="9">
        <v>99.99</v>
      </c>
      <c r="E12" s="8" t="s">
        <v>3908</v>
      </c>
      <c r="F12" s="7" t="s">
        <v>3748</v>
      </c>
      <c r="G12" s="10"/>
      <c r="H12" s="7" t="s">
        <v>3452</v>
      </c>
      <c r="I12" s="7" t="s">
        <v>3453</v>
      </c>
      <c r="J12" s="7"/>
      <c r="K12" s="7"/>
      <c r="L12" s="11" t="str">
        <f>HYPERLINK("http://slimages.macys.com/is/image/MCY/18159733 ")</f>
        <v xml:space="preserve">http://slimages.macys.com/is/image/MCY/18159733 </v>
      </c>
    </row>
    <row r="13" spans="1:12" ht="39.950000000000003" customHeight="1" x14ac:dyDescent="0.25">
      <c r="A13" s="6" t="s">
        <v>3909</v>
      </c>
      <c r="B13" s="7" t="s">
        <v>3910</v>
      </c>
      <c r="C13" s="8">
        <v>1</v>
      </c>
      <c r="D13" s="9">
        <v>149.99</v>
      </c>
      <c r="E13" s="8" t="s">
        <v>3911</v>
      </c>
      <c r="F13" s="7" t="s">
        <v>3431</v>
      </c>
      <c r="G13" s="10"/>
      <c r="H13" s="7" t="s">
        <v>3572</v>
      </c>
      <c r="I13" s="7" t="s">
        <v>3897</v>
      </c>
      <c r="J13" s="7"/>
      <c r="K13" s="7"/>
      <c r="L13" s="11" t="str">
        <f>HYPERLINK("http://slimages.macys.com/is/image/MCY/16792609 ")</f>
        <v xml:space="preserve">http://slimages.macys.com/is/image/MCY/16792609 </v>
      </c>
    </row>
    <row r="14" spans="1:12" ht="39.950000000000003" customHeight="1" x14ac:dyDescent="0.25">
      <c r="A14" s="6" t="s">
        <v>3912</v>
      </c>
      <c r="B14" s="7" t="s">
        <v>3913</v>
      </c>
      <c r="C14" s="8">
        <v>1</v>
      </c>
      <c r="D14" s="9">
        <v>89.99</v>
      </c>
      <c r="E14" s="8" t="s">
        <v>3914</v>
      </c>
      <c r="F14" s="7" t="s">
        <v>3445</v>
      </c>
      <c r="G14" s="10"/>
      <c r="H14" s="7" t="s">
        <v>3467</v>
      </c>
      <c r="I14" s="7" t="s">
        <v>3473</v>
      </c>
      <c r="J14" s="7" t="s">
        <v>3426</v>
      </c>
      <c r="K14" s="7" t="s">
        <v>3474</v>
      </c>
      <c r="L14" s="11" t="str">
        <f>HYPERLINK("http://slimages.macys.com/is/image/MCY/12355110 ")</f>
        <v xml:space="preserve">http://slimages.macys.com/is/image/MCY/12355110 </v>
      </c>
    </row>
    <row r="15" spans="1:12" ht="39.950000000000003" customHeight="1" x14ac:dyDescent="0.25">
      <c r="A15" s="6" t="s">
        <v>3915</v>
      </c>
      <c r="B15" s="7" t="s">
        <v>3916</v>
      </c>
      <c r="C15" s="8">
        <v>1</v>
      </c>
      <c r="D15" s="9">
        <v>81.99</v>
      </c>
      <c r="E15" s="8" t="s">
        <v>3917</v>
      </c>
      <c r="F15" s="7" t="s">
        <v>3530</v>
      </c>
      <c r="G15" s="10"/>
      <c r="H15" s="7" t="s">
        <v>3432</v>
      </c>
      <c r="I15" s="7" t="s">
        <v>3918</v>
      </c>
      <c r="J15" s="7" t="s">
        <v>3426</v>
      </c>
      <c r="K15" s="7" t="s">
        <v>3919</v>
      </c>
      <c r="L15" s="11" t="str">
        <f>HYPERLINK("http://slimages.macys.com/is/image/MCY/14358960 ")</f>
        <v xml:space="preserve">http://slimages.macys.com/is/image/MCY/14358960 </v>
      </c>
    </row>
    <row r="16" spans="1:12" ht="39.950000000000003" customHeight="1" x14ac:dyDescent="0.25">
      <c r="A16" s="6" t="s">
        <v>3920</v>
      </c>
      <c r="B16" s="7" t="s">
        <v>3921</v>
      </c>
      <c r="C16" s="8">
        <v>1</v>
      </c>
      <c r="D16" s="9">
        <v>60.99</v>
      </c>
      <c r="E16" s="8" t="s">
        <v>3922</v>
      </c>
      <c r="F16" s="7" t="s">
        <v>3423</v>
      </c>
      <c r="G16" s="10"/>
      <c r="H16" s="7" t="s">
        <v>3542</v>
      </c>
      <c r="I16" s="7" t="s">
        <v>3543</v>
      </c>
      <c r="J16" s="7" t="s">
        <v>3426</v>
      </c>
      <c r="K16" s="7" t="s">
        <v>3923</v>
      </c>
      <c r="L16" s="11" t="str">
        <f>HYPERLINK("http://slimages.macys.com/is/image/MCY/10295782 ")</f>
        <v xml:space="preserve">http://slimages.macys.com/is/image/MCY/10295782 </v>
      </c>
    </row>
    <row r="17" spans="1:12" ht="39.950000000000003" customHeight="1" x14ac:dyDescent="0.25">
      <c r="A17" s="6" t="s">
        <v>3924</v>
      </c>
      <c r="B17" s="7" t="s">
        <v>3925</v>
      </c>
      <c r="C17" s="8">
        <v>1</v>
      </c>
      <c r="D17" s="9">
        <v>64.989999999999995</v>
      </c>
      <c r="E17" s="8" t="s">
        <v>3926</v>
      </c>
      <c r="F17" s="7" t="s">
        <v>3445</v>
      </c>
      <c r="G17" s="10"/>
      <c r="H17" s="7" t="s">
        <v>3525</v>
      </c>
      <c r="I17" s="7" t="s">
        <v>3548</v>
      </c>
      <c r="J17" s="7" t="s">
        <v>3564</v>
      </c>
      <c r="K17" s="7" t="s">
        <v>3927</v>
      </c>
      <c r="L17" s="11" t="str">
        <f>HYPERLINK("http://slimages.macys.com/is/image/MCY/8589816 ")</f>
        <v xml:space="preserve">http://slimages.macys.com/is/image/MCY/8589816 </v>
      </c>
    </row>
    <row r="18" spans="1:12" ht="39.950000000000003" customHeight="1" x14ac:dyDescent="0.25">
      <c r="A18" s="6" t="s">
        <v>3928</v>
      </c>
      <c r="B18" s="7" t="s">
        <v>3929</v>
      </c>
      <c r="C18" s="8">
        <v>1</v>
      </c>
      <c r="D18" s="9">
        <v>99.99</v>
      </c>
      <c r="E18" s="8" t="s">
        <v>3930</v>
      </c>
      <c r="F18" s="7" t="s">
        <v>3431</v>
      </c>
      <c r="G18" s="10" t="s">
        <v>3675</v>
      </c>
      <c r="H18" s="7" t="s">
        <v>3572</v>
      </c>
      <c r="I18" s="7" t="s">
        <v>3724</v>
      </c>
      <c r="J18" s="7" t="s">
        <v>3426</v>
      </c>
      <c r="K18" s="7" t="s">
        <v>3931</v>
      </c>
      <c r="L18" s="11" t="str">
        <f>HYPERLINK("http://slimages.macys.com/is/image/MCY/11640170 ")</f>
        <v xml:space="preserve">http://slimages.macys.com/is/image/MCY/11640170 </v>
      </c>
    </row>
    <row r="19" spans="1:12" ht="39.950000000000003" customHeight="1" x14ac:dyDescent="0.25">
      <c r="A19" s="6" t="s">
        <v>3932</v>
      </c>
      <c r="B19" s="7" t="s">
        <v>3933</v>
      </c>
      <c r="C19" s="8">
        <v>1</v>
      </c>
      <c r="D19" s="9">
        <v>79.989999999999995</v>
      </c>
      <c r="E19" s="8" t="s">
        <v>3934</v>
      </c>
      <c r="F19" s="7" t="s">
        <v>3500</v>
      </c>
      <c r="G19" s="10"/>
      <c r="H19" s="7" t="s">
        <v>3452</v>
      </c>
      <c r="I19" s="7" t="s">
        <v>3834</v>
      </c>
      <c r="J19" s="7" t="s">
        <v>3426</v>
      </c>
      <c r="K19" s="7" t="s">
        <v>3556</v>
      </c>
      <c r="L19" s="11" t="str">
        <f>HYPERLINK("http://slimages.macys.com/is/image/MCY/14601004 ")</f>
        <v xml:space="preserve">http://slimages.macys.com/is/image/MCY/14601004 </v>
      </c>
    </row>
    <row r="20" spans="1:12" ht="39.950000000000003" customHeight="1" x14ac:dyDescent="0.25">
      <c r="A20" s="6" t="s">
        <v>3935</v>
      </c>
      <c r="B20" s="7" t="s">
        <v>3936</v>
      </c>
      <c r="C20" s="8">
        <v>1</v>
      </c>
      <c r="D20" s="9">
        <v>99.99</v>
      </c>
      <c r="E20" s="8" t="s">
        <v>3937</v>
      </c>
      <c r="F20" s="7" t="s">
        <v>3938</v>
      </c>
      <c r="G20" s="10"/>
      <c r="H20" s="7" t="s">
        <v>3572</v>
      </c>
      <c r="I20" s="7" t="s">
        <v>3724</v>
      </c>
      <c r="J20" s="7" t="s">
        <v>3426</v>
      </c>
      <c r="K20" s="7" t="s">
        <v>3556</v>
      </c>
      <c r="L20" s="11" t="str">
        <f>HYPERLINK("http://slimages.macys.com/is/image/MCY/14426327 ")</f>
        <v xml:space="preserve">http://slimages.macys.com/is/image/MCY/14426327 </v>
      </c>
    </row>
    <row r="21" spans="1:12" ht="39.950000000000003" customHeight="1" x14ac:dyDescent="0.25">
      <c r="A21" s="6" t="s">
        <v>3939</v>
      </c>
      <c r="B21" s="7" t="s">
        <v>3940</v>
      </c>
      <c r="C21" s="8">
        <v>1</v>
      </c>
      <c r="D21" s="9">
        <v>39.99</v>
      </c>
      <c r="E21" s="8" t="s">
        <v>3941</v>
      </c>
      <c r="F21" s="7" t="s">
        <v>3445</v>
      </c>
      <c r="G21" s="10" t="s">
        <v>3942</v>
      </c>
      <c r="H21" s="7" t="s">
        <v>3490</v>
      </c>
      <c r="I21" s="7" t="s">
        <v>3943</v>
      </c>
      <c r="J21" s="7" t="s">
        <v>3426</v>
      </c>
      <c r="K21" s="7" t="s">
        <v>3518</v>
      </c>
      <c r="L21" s="11" t="str">
        <f>HYPERLINK("http://slimages.macys.com/is/image/MCY/9175647 ")</f>
        <v xml:space="preserve">http://slimages.macys.com/is/image/MCY/9175647 </v>
      </c>
    </row>
    <row r="22" spans="1:12" ht="39.950000000000003" customHeight="1" x14ac:dyDescent="0.25">
      <c r="A22" s="6" t="s">
        <v>3944</v>
      </c>
      <c r="B22" s="7" t="s">
        <v>3945</v>
      </c>
      <c r="C22" s="8">
        <v>1</v>
      </c>
      <c r="D22" s="9">
        <v>99.99</v>
      </c>
      <c r="E22" s="8" t="s">
        <v>3946</v>
      </c>
      <c r="F22" s="7" t="s">
        <v>3484</v>
      </c>
      <c r="G22" s="10" t="s">
        <v>3947</v>
      </c>
      <c r="H22" s="7" t="s">
        <v>3440</v>
      </c>
      <c r="I22" s="7" t="s">
        <v>3948</v>
      </c>
      <c r="J22" s="7" t="s">
        <v>3426</v>
      </c>
      <c r="K22" s="7" t="s">
        <v>3949</v>
      </c>
      <c r="L22" s="11" t="str">
        <f>HYPERLINK("http://slimages.macys.com/is/image/MCY/8182285 ")</f>
        <v xml:space="preserve">http://slimages.macys.com/is/image/MCY/8182285 </v>
      </c>
    </row>
    <row r="23" spans="1:12" ht="39.950000000000003" customHeight="1" x14ac:dyDescent="0.25">
      <c r="A23" s="6" t="s">
        <v>3950</v>
      </c>
      <c r="B23" s="7" t="s">
        <v>3951</v>
      </c>
      <c r="C23" s="8">
        <v>1</v>
      </c>
      <c r="D23" s="9">
        <v>49.99</v>
      </c>
      <c r="E23" s="8">
        <v>2000000034</v>
      </c>
      <c r="F23" s="7" t="s">
        <v>3496</v>
      </c>
      <c r="G23" s="10"/>
      <c r="H23" s="7" t="s">
        <v>3478</v>
      </c>
      <c r="I23" s="7" t="s">
        <v>3517</v>
      </c>
      <c r="J23" s="7"/>
      <c r="K23" s="7"/>
      <c r="L23" s="11" t="str">
        <f>HYPERLINK("http://slimages.macys.com/is/image/MCY/17814136 ")</f>
        <v xml:space="preserve">http://slimages.macys.com/is/image/MCY/17814136 </v>
      </c>
    </row>
    <row r="24" spans="1:12" ht="39.950000000000003" customHeight="1" x14ac:dyDescent="0.25">
      <c r="A24" s="6" t="s">
        <v>3952</v>
      </c>
      <c r="B24" s="7" t="s">
        <v>3953</v>
      </c>
      <c r="C24" s="8">
        <v>1</v>
      </c>
      <c r="D24" s="9">
        <v>49.99</v>
      </c>
      <c r="E24" s="8" t="s">
        <v>3954</v>
      </c>
      <c r="F24" s="7" t="s">
        <v>3431</v>
      </c>
      <c r="G24" s="10"/>
      <c r="H24" s="7" t="s">
        <v>3478</v>
      </c>
      <c r="I24" s="7" t="s">
        <v>3553</v>
      </c>
      <c r="J24" s="7" t="s">
        <v>3426</v>
      </c>
      <c r="K24" s="7" t="s">
        <v>3955</v>
      </c>
      <c r="L24" s="11" t="str">
        <f>HYPERLINK("http://slimages.macys.com/is/image/MCY/9762852 ")</f>
        <v xml:space="preserve">http://slimages.macys.com/is/image/MCY/9762852 </v>
      </c>
    </row>
    <row r="25" spans="1:12" ht="39.950000000000003" customHeight="1" x14ac:dyDescent="0.25">
      <c r="A25" s="6" t="s">
        <v>3956</v>
      </c>
      <c r="B25" s="7" t="s">
        <v>3957</v>
      </c>
      <c r="C25" s="8">
        <v>2</v>
      </c>
      <c r="D25" s="9">
        <v>139.97999999999999</v>
      </c>
      <c r="E25" s="8" t="s">
        <v>3958</v>
      </c>
      <c r="F25" s="7" t="s">
        <v>3477</v>
      </c>
      <c r="G25" s="10"/>
      <c r="H25" s="7" t="s">
        <v>3525</v>
      </c>
      <c r="I25" s="7" t="s">
        <v>3704</v>
      </c>
      <c r="J25" s="7" t="s">
        <v>3426</v>
      </c>
      <c r="K25" s="7" t="s">
        <v>3959</v>
      </c>
      <c r="L25" s="11" t="str">
        <f>HYPERLINK("http://slimages.macys.com/is/image/MCY/13121058 ")</f>
        <v xml:space="preserve">http://slimages.macys.com/is/image/MCY/13121058 </v>
      </c>
    </row>
    <row r="26" spans="1:12" ht="39.950000000000003" customHeight="1" x14ac:dyDescent="0.25">
      <c r="A26" s="6" t="s">
        <v>3960</v>
      </c>
      <c r="B26" s="7" t="s">
        <v>3961</v>
      </c>
      <c r="C26" s="8">
        <v>1</v>
      </c>
      <c r="D26" s="9">
        <v>49.99</v>
      </c>
      <c r="E26" s="8">
        <v>100109460</v>
      </c>
      <c r="F26" s="7" t="s">
        <v>3832</v>
      </c>
      <c r="G26" s="10" t="s">
        <v>3962</v>
      </c>
      <c r="H26" s="7" t="s">
        <v>3467</v>
      </c>
      <c r="I26" s="7" t="s">
        <v>3963</v>
      </c>
      <c r="J26" s="7"/>
      <c r="K26" s="7"/>
      <c r="L26" s="11" t="str">
        <f>HYPERLINK("http://slimages.macys.com/is/image/MCY/17662287 ")</f>
        <v xml:space="preserve">http://slimages.macys.com/is/image/MCY/17662287 </v>
      </c>
    </row>
    <row r="27" spans="1:12" ht="39.950000000000003" customHeight="1" x14ac:dyDescent="0.25">
      <c r="A27" s="6" t="s">
        <v>3964</v>
      </c>
      <c r="B27" s="7" t="s">
        <v>3965</v>
      </c>
      <c r="C27" s="8">
        <v>1</v>
      </c>
      <c r="D27" s="9">
        <v>44.99</v>
      </c>
      <c r="E27" s="8" t="s">
        <v>3966</v>
      </c>
      <c r="F27" s="7" t="s">
        <v>3445</v>
      </c>
      <c r="G27" s="10" t="s">
        <v>3611</v>
      </c>
      <c r="H27" s="7" t="s">
        <v>3525</v>
      </c>
      <c r="I27" s="7" t="s">
        <v>3967</v>
      </c>
      <c r="J27" s="7" t="s">
        <v>3601</v>
      </c>
      <c r="K27" s="7" t="s">
        <v>3968</v>
      </c>
      <c r="L27" s="11" t="str">
        <f>HYPERLINK("http://slimages.macys.com/is/image/MCY/9406278 ")</f>
        <v xml:space="preserve">http://slimages.macys.com/is/image/MCY/9406278 </v>
      </c>
    </row>
    <row r="28" spans="1:12" ht="39.950000000000003" customHeight="1" x14ac:dyDescent="0.25">
      <c r="A28" s="6" t="s">
        <v>3969</v>
      </c>
      <c r="B28" s="7" t="s">
        <v>3970</v>
      </c>
      <c r="C28" s="8">
        <v>1</v>
      </c>
      <c r="D28" s="9">
        <v>34.99</v>
      </c>
      <c r="E28" s="8" t="s">
        <v>3971</v>
      </c>
      <c r="F28" s="7" t="s">
        <v>3804</v>
      </c>
      <c r="G28" s="10"/>
      <c r="H28" s="7" t="s">
        <v>3542</v>
      </c>
      <c r="I28" s="7" t="s">
        <v>3972</v>
      </c>
      <c r="J28" s="7" t="s">
        <v>3426</v>
      </c>
      <c r="K28" s="7" t="s">
        <v>3518</v>
      </c>
      <c r="L28" s="11" t="str">
        <f>HYPERLINK("http://slimages.macys.com/is/image/MCY/9616503 ")</f>
        <v xml:space="preserve">http://slimages.macys.com/is/image/MCY/9616503 </v>
      </c>
    </row>
    <row r="29" spans="1:12" ht="39.950000000000003" customHeight="1" x14ac:dyDescent="0.25">
      <c r="A29" s="6" t="s">
        <v>3973</v>
      </c>
      <c r="B29" s="7" t="s">
        <v>3974</v>
      </c>
      <c r="C29" s="8">
        <v>1</v>
      </c>
      <c r="D29" s="9">
        <v>27.99</v>
      </c>
      <c r="E29" s="8" t="s">
        <v>3975</v>
      </c>
      <c r="F29" s="7" t="s">
        <v>3804</v>
      </c>
      <c r="G29" s="10"/>
      <c r="H29" s="7" t="s">
        <v>3490</v>
      </c>
      <c r="I29" s="7" t="s">
        <v>3553</v>
      </c>
      <c r="J29" s="7" t="s">
        <v>3426</v>
      </c>
      <c r="K29" s="7" t="s">
        <v>3976</v>
      </c>
      <c r="L29" s="11" t="str">
        <f>HYPERLINK("http://slimages.macys.com/is/image/MCY/9614138 ")</f>
        <v xml:space="preserve">http://slimages.macys.com/is/image/MCY/9614138 </v>
      </c>
    </row>
    <row r="30" spans="1:12" ht="39.950000000000003" customHeight="1" x14ac:dyDescent="0.25">
      <c r="A30" s="6" t="s">
        <v>3977</v>
      </c>
      <c r="B30" s="7" t="s">
        <v>3978</v>
      </c>
      <c r="C30" s="8">
        <v>1</v>
      </c>
      <c r="D30" s="9">
        <v>69.989999999999995</v>
      </c>
      <c r="E30" s="8" t="s">
        <v>3979</v>
      </c>
      <c r="F30" s="7" t="s">
        <v>3445</v>
      </c>
      <c r="G30" s="10"/>
      <c r="H30" s="7" t="s">
        <v>3440</v>
      </c>
      <c r="I30" s="7" t="s">
        <v>3948</v>
      </c>
      <c r="J30" s="7" t="s">
        <v>3426</v>
      </c>
      <c r="K30" s="7" t="s">
        <v>3980</v>
      </c>
      <c r="L30" s="11" t="str">
        <f>HYPERLINK("http://slimages.macys.com/is/image/MCY/8157179 ")</f>
        <v xml:space="preserve">http://slimages.macys.com/is/image/MCY/8157179 </v>
      </c>
    </row>
    <row r="31" spans="1:12" ht="39.950000000000003" customHeight="1" x14ac:dyDescent="0.25">
      <c r="A31" s="6" t="s">
        <v>3981</v>
      </c>
      <c r="B31" s="7" t="s">
        <v>3982</v>
      </c>
      <c r="C31" s="8">
        <v>1</v>
      </c>
      <c r="D31" s="9">
        <v>26.99</v>
      </c>
      <c r="E31" s="8">
        <v>50952</v>
      </c>
      <c r="F31" s="7" t="s">
        <v>3496</v>
      </c>
      <c r="G31" s="10" t="s">
        <v>3983</v>
      </c>
      <c r="H31" s="7" t="s">
        <v>3490</v>
      </c>
      <c r="I31" s="7" t="s">
        <v>3649</v>
      </c>
      <c r="J31" s="7" t="s">
        <v>3426</v>
      </c>
      <c r="K31" s="7" t="s">
        <v>3518</v>
      </c>
      <c r="L31" s="11" t="str">
        <f>HYPERLINK("http://slimages.macys.com/is/image/MCY/10010128 ")</f>
        <v xml:space="preserve">http://slimages.macys.com/is/image/MCY/10010128 </v>
      </c>
    </row>
    <row r="32" spans="1:12" ht="39.950000000000003" customHeight="1" x14ac:dyDescent="0.25">
      <c r="A32" s="6" t="s">
        <v>3984</v>
      </c>
      <c r="B32" s="7" t="s">
        <v>3985</v>
      </c>
      <c r="C32" s="8">
        <v>1</v>
      </c>
      <c r="D32" s="9">
        <v>19.989999999999998</v>
      </c>
      <c r="E32" s="8">
        <v>56279</v>
      </c>
      <c r="F32" s="7" t="s">
        <v>3445</v>
      </c>
      <c r="G32" s="10"/>
      <c r="H32" s="7" t="s">
        <v>3490</v>
      </c>
      <c r="I32" s="7" t="s">
        <v>3649</v>
      </c>
      <c r="J32" s="7"/>
      <c r="K32" s="7"/>
      <c r="L32" s="11" t="str">
        <f>HYPERLINK("http://slimages.macys.com/is/image/MCY/17936333 ")</f>
        <v xml:space="preserve">http://slimages.macys.com/is/image/MCY/17936333 </v>
      </c>
    </row>
    <row r="33" spans="1:12" ht="39.950000000000003" customHeight="1" x14ac:dyDescent="0.25">
      <c r="A33" s="6" t="s">
        <v>3986</v>
      </c>
      <c r="B33" s="7" t="s">
        <v>3987</v>
      </c>
      <c r="C33" s="8">
        <v>1</v>
      </c>
      <c r="D33" s="9">
        <v>21.99</v>
      </c>
      <c r="E33" s="8">
        <v>50728</v>
      </c>
      <c r="F33" s="7" t="s">
        <v>3720</v>
      </c>
      <c r="G33" s="10"/>
      <c r="H33" s="7" t="s">
        <v>3490</v>
      </c>
      <c r="I33" s="7" t="s">
        <v>3649</v>
      </c>
      <c r="J33" s="7" t="s">
        <v>3426</v>
      </c>
      <c r="K33" s="7"/>
      <c r="L33" s="11" t="str">
        <f>HYPERLINK("http://slimages.macys.com/is/image/MCY/9972657 ")</f>
        <v xml:space="preserve">http://slimages.macys.com/is/image/MCY/9972657 </v>
      </c>
    </row>
    <row r="34" spans="1:12" ht="39.950000000000003" customHeight="1" x14ac:dyDescent="0.25">
      <c r="A34" s="6" t="s">
        <v>3988</v>
      </c>
      <c r="B34" s="7" t="s">
        <v>3989</v>
      </c>
      <c r="C34" s="8">
        <v>1</v>
      </c>
      <c r="D34" s="9">
        <v>19.989999999999998</v>
      </c>
      <c r="E34" s="8" t="s">
        <v>3990</v>
      </c>
      <c r="F34" s="7" t="s">
        <v>3445</v>
      </c>
      <c r="G34" s="10"/>
      <c r="H34" s="7" t="s">
        <v>3525</v>
      </c>
      <c r="I34" s="7" t="s">
        <v>3991</v>
      </c>
      <c r="J34" s="7" t="s">
        <v>3564</v>
      </c>
      <c r="K34" s="7" t="s">
        <v>3992</v>
      </c>
      <c r="L34" s="11" t="str">
        <f>HYPERLINK("http://slimages.macys.com/is/image/MCY/2861111 ")</f>
        <v xml:space="preserve">http://slimages.macys.com/is/image/MCY/2861111 </v>
      </c>
    </row>
    <row r="35" spans="1:12" ht="39.950000000000003" customHeight="1" x14ac:dyDescent="0.25">
      <c r="A35" s="6" t="s">
        <v>3993</v>
      </c>
      <c r="B35" s="7" t="s">
        <v>3994</v>
      </c>
      <c r="C35" s="8">
        <v>1</v>
      </c>
      <c r="D35" s="9">
        <v>34.99</v>
      </c>
      <c r="E35" s="8" t="s">
        <v>3995</v>
      </c>
      <c r="F35" s="7" t="s">
        <v>3477</v>
      </c>
      <c r="G35" s="10"/>
      <c r="H35" s="7" t="s">
        <v>3559</v>
      </c>
      <c r="I35" s="7" t="s">
        <v>3996</v>
      </c>
      <c r="J35" s="7" t="s">
        <v>3549</v>
      </c>
      <c r="K35" s="7" t="s">
        <v>3997</v>
      </c>
      <c r="L35" s="11" t="str">
        <f>HYPERLINK("http://slimages.macys.com/is/image/MCY/15800533 ")</f>
        <v xml:space="preserve">http://slimages.macys.com/is/image/MCY/15800533 </v>
      </c>
    </row>
    <row r="36" spans="1:12" ht="39.950000000000003" customHeight="1" x14ac:dyDescent="0.25">
      <c r="A36" s="6" t="s">
        <v>3998</v>
      </c>
      <c r="B36" s="7" t="s">
        <v>3999</v>
      </c>
      <c r="C36" s="8">
        <v>1</v>
      </c>
      <c r="D36" s="9">
        <v>22.99</v>
      </c>
      <c r="E36" s="8" t="s">
        <v>4000</v>
      </c>
      <c r="F36" s="7" t="s">
        <v>3445</v>
      </c>
      <c r="G36" s="10"/>
      <c r="H36" s="7" t="s">
        <v>3478</v>
      </c>
      <c r="I36" s="7" t="s">
        <v>4001</v>
      </c>
      <c r="J36" s="7" t="s">
        <v>3426</v>
      </c>
      <c r="K36" s="7" t="s">
        <v>3518</v>
      </c>
      <c r="L36" s="11" t="str">
        <f>HYPERLINK("http://slimages.macys.com/is/image/MCY/10181919 ")</f>
        <v xml:space="preserve">http://slimages.macys.com/is/image/MCY/10181919 </v>
      </c>
    </row>
    <row r="37" spans="1:12" ht="39.950000000000003" customHeight="1" x14ac:dyDescent="0.25">
      <c r="A37" s="6" t="s">
        <v>4002</v>
      </c>
      <c r="B37" s="7" t="s">
        <v>4003</v>
      </c>
      <c r="C37" s="8">
        <v>1</v>
      </c>
      <c r="D37" s="9">
        <v>15.99</v>
      </c>
      <c r="E37" s="8">
        <v>48053</v>
      </c>
      <c r="F37" s="7" t="s">
        <v>3496</v>
      </c>
      <c r="G37" s="10"/>
      <c r="H37" s="7" t="s">
        <v>3490</v>
      </c>
      <c r="I37" s="7" t="s">
        <v>3649</v>
      </c>
      <c r="J37" s="7" t="s">
        <v>3426</v>
      </c>
      <c r="K37" s="7" t="s">
        <v>3518</v>
      </c>
      <c r="L37" s="11" t="str">
        <f>HYPERLINK("http://slimages.macys.com/is/image/MCY/10010137 ")</f>
        <v xml:space="preserve">http://slimages.macys.com/is/image/MCY/10010137 </v>
      </c>
    </row>
    <row r="38" spans="1:12" ht="39.950000000000003" customHeight="1" x14ac:dyDescent="0.25">
      <c r="A38" s="6" t="s">
        <v>4004</v>
      </c>
      <c r="B38" s="7" t="s">
        <v>4005</v>
      </c>
      <c r="C38" s="8">
        <v>2</v>
      </c>
      <c r="D38" s="9">
        <v>29.98</v>
      </c>
      <c r="E38" s="8" t="s">
        <v>4006</v>
      </c>
      <c r="F38" s="7" t="s">
        <v>3938</v>
      </c>
      <c r="G38" s="10" t="s">
        <v>4007</v>
      </c>
      <c r="H38" s="7" t="s">
        <v>3490</v>
      </c>
      <c r="I38" s="7" t="s">
        <v>4008</v>
      </c>
      <c r="J38" s="7"/>
      <c r="K38" s="7"/>
      <c r="L38" s="11" t="str">
        <f>HYPERLINK("http://slimages.macys.com/is/image/MCY/17620637 ")</f>
        <v xml:space="preserve">http://slimages.macys.com/is/image/MCY/17620637 </v>
      </c>
    </row>
    <row r="39" spans="1:12" ht="39.950000000000003" customHeight="1" x14ac:dyDescent="0.25">
      <c r="A39" s="6" t="s">
        <v>4009</v>
      </c>
      <c r="B39" s="7" t="s">
        <v>4010</v>
      </c>
      <c r="C39" s="8">
        <v>3</v>
      </c>
      <c r="D39" s="9">
        <v>44.97</v>
      </c>
      <c r="E39" s="8" t="s">
        <v>4011</v>
      </c>
      <c r="F39" s="7" t="s">
        <v>3463</v>
      </c>
      <c r="G39" s="10" t="s">
        <v>4007</v>
      </c>
      <c r="H39" s="7" t="s">
        <v>3490</v>
      </c>
      <c r="I39" s="7" t="s">
        <v>4008</v>
      </c>
      <c r="J39" s="7"/>
      <c r="K39" s="7"/>
      <c r="L39" s="11" t="str">
        <f>HYPERLINK("http://slimages.macys.com/is/image/MCY/17620637 ")</f>
        <v xml:space="preserve">http://slimages.macys.com/is/image/MCY/17620637 </v>
      </c>
    </row>
    <row r="40" spans="1:12" ht="39.950000000000003" customHeight="1" x14ac:dyDescent="0.25">
      <c r="A40" s="6" t="s">
        <v>4012</v>
      </c>
      <c r="B40" s="7" t="s">
        <v>4013</v>
      </c>
      <c r="C40" s="8">
        <v>1</v>
      </c>
      <c r="D40" s="9">
        <v>14.99</v>
      </c>
      <c r="E40" s="8" t="s">
        <v>4014</v>
      </c>
      <c r="F40" s="7" t="s">
        <v>4015</v>
      </c>
      <c r="G40" s="10" t="s">
        <v>4007</v>
      </c>
      <c r="H40" s="7" t="s">
        <v>3490</v>
      </c>
      <c r="I40" s="7" t="s">
        <v>4008</v>
      </c>
      <c r="J40" s="7"/>
      <c r="K40" s="7"/>
      <c r="L40" s="11" t="str">
        <f>HYPERLINK("http://slimages.macys.com/is/image/MCY/17620637 ")</f>
        <v xml:space="preserve">http://slimages.macys.com/is/image/MCY/17620637 </v>
      </c>
    </row>
    <row r="41" spans="1:12" ht="39.950000000000003" customHeight="1" x14ac:dyDescent="0.25">
      <c r="A41" s="6" t="s">
        <v>4016</v>
      </c>
      <c r="B41" s="7" t="s">
        <v>4017</v>
      </c>
      <c r="C41" s="8">
        <v>1</v>
      </c>
      <c r="D41" s="9">
        <v>10.99</v>
      </c>
      <c r="E41" s="8" t="s">
        <v>4018</v>
      </c>
      <c r="F41" s="7" t="s">
        <v>3484</v>
      </c>
      <c r="G41" s="10" t="s">
        <v>3851</v>
      </c>
      <c r="H41" s="7" t="s">
        <v>3559</v>
      </c>
      <c r="I41" s="7" t="s">
        <v>3852</v>
      </c>
      <c r="J41" s="7"/>
      <c r="K41" s="7"/>
      <c r="L41" s="11" t="str">
        <f>HYPERLINK("http://slimages.macys.com/is/image/MCY/17993402 ")</f>
        <v xml:space="preserve">http://slimages.macys.com/is/image/MCY/17993402 </v>
      </c>
    </row>
    <row r="42" spans="1:12" ht="39.950000000000003" customHeight="1" x14ac:dyDescent="0.25">
      <c r="A42" s="6" t="s">
        <v>4019</v>
      </c>
      <c r="B42" s="7" t="s">
        <v>4020</v>
      </c>
      <c r="C42" s="8">
        <v>1</v>
      </c>
      <c r="D42" s="9">
        <v>14.99</v>
      </c>
      <c r="E42" s="8" t="s">
        <v>4021</v>
      </c>
      <c r="F42" s="7" t="s">
        <v>4022</v>
      </c>
      <c r="G42" s="10" t="s">
        <v>4023</v>
      </c>
      <c r="H42" s="7" t="s">
        <v>3654</v>
      </c>
      <c r="I42" s="7" t="s">
        <v>3840</v>
      </c>
      <c r="J42" s="7" t="s">
        <v>3426</v>
      </c>
      <c r="K42" s="7" t="s">
        <v>3492</v>
      </c>
      <c r="L42" s="11" t="str">
        <f>HYPERLINK("http://slimages.macys.com/is/image/MCY/12723170 ")</f>
        <v xml:space="preserve">http://slimages.macys.com/is/image/MCY/12723170 </v>
      </c>
    </row>
    <row r="43" spans="1:12" ht="39.950000000000003" customHeight="1" x14ac:dyDescent="0.25">
      <c r="A43" s="6" t="s">
        <v>4024</v>
      </c>
      <c r="B43" s="7" t="s">
        <v>4025</v>
      </c>
      <c r="C43" s="8">
        <v>1</v>
      </c>
      <c r="D43" s="9">
        <v>7.99</v>
      </c>
      <c r="E43" s="8" t="s">
        <v>4026</v>
      </c>
      <c r="F43" s="7" t="s">
        <v>4027</v>
      </c>
      <c r="G43" s="10" t="s">
        <v>3653</v>
      </c>
      <c r="H43" s="7" t="s">
        <v>3635</v>
      </c>
      <c r="I43" s="7" t="s">
        <v>3508</v>
      </c>
      <c r="J43" s="7"/>
      <c r="K43" s="7"/>
      <c r="L43" s="11" t="str">
        <f>HYPERLINK("http://slimages.macys.com/is/image/MCY/17492917 ")</f>
        <v xml:space="preserve">http://slimages.macys.com/is/image/MCY/17492917 </v>
      </c>
    </row>
    <row r="44" spans="1:12" ht="39.950000000000003" customHeight="1" x14ac:dyDescent="0.25">
      <c r="A44" s="6" t="s">
        <v>4028</v>
      </c>
      <c r="B44" s="7" t="s">
        <v>4029</v>
      </c>
      <c r="C44" s="8">
        <v>1</v>
      </c>
      <c r="D44" s="9">
        <v>10.99</v>
      </c>
      <c r="E44" s="8" t="s">
        <v>4030</v>
      </c>
      <c r="F44" s="7"/>
      <c r="G44" s="10" t="s">
        <v>4031</v>
      </c>
      <c r="H44" s="7" t="s">
        <v>3635</v>
      </c>
      <c r="I44" s="7" t="s">
        <v>3700</v>
      </c>
      <c r="J44" s="7" t="s">
        <v>3426</v>
      </c>
      <c r="K44" s="7" t="s">
        <v>3835</v>
      </c>
      <c r="L44" s="11" t="str">
        <f>HYPERLINK("http://slimages.macys.com/is/image/MCY/15008188 ")</f>
        <v xml:space="preserve">http://slimages.macys.com/is/image/MCY/15008188 </v>
      </c>
    </row>
    <row r="45" spans="1:12" ht="39.950000000000003" customHeight="1" x14ac:dyDescent="0.25">
      <c r="A45" s="6" t="s">
        <v>4032</v>
      </c>
      <c r="B45" s="7" t="s">
        <v>4033</v>
      </c>
      <c r="C45" s="8">
        <v>1</v>
      </c>
      <c r="D45" s="9">
        <v>249.99</v>
      </c>
      <c r="E45" s="8" t="s">
        <v>4034</v>
      </c>
      <c r="F45" s="7" t="s">
        <v>4035</v>
      </c>
      <c r="G45" s="10"/>
      <c r="H45" s="7" t="s">
        <v>3440</v>
      </c>
      <c r="I45" s="7" t="s">
        <v>4036</v>
      </c>
      <c r="J45" s="7"/>
      <c r="K45" s="7"/>
      <c r="L45" s="11"/>
    </row>
    <row r="46" spans="1:12" ht="39.950000000000003" customHeight="1" x14ac:dyDescent="0.25">
      <c r="A46" s="6" t="s">
        <v>4037</v>
      </c>
      <c r="B46" s="7" t="s">
        <v>4038</v>
      </c>
      <c r="C46" s="8">
        <v>1</v>
      </c>
      <c r="D46" s="9">
        <v>129.99</v>
      </c>
      <c r="E46" s="8" t="s">
        <v>4039</v>
      </c>
      <c r="F46" s="7" t="s">
        <v>3445</v>
      </c>
      <c r="G46" s="10"/>
      <c r="H46" s="7" t="s">
        <v>3478</v>
      </c>
      <c r="I46" s="7" t="s">
        <v>4040</v>
      </c>
      <c r="J46" s="7"/>
      <c r="K46" s="7"/>
      <c r="L46" s="11"/>
    </row>
    <row r="47" spans="1:12" ht="39.950000000000003" customHeight="1" x14ac:dyDescent="0.25">
      <c r="A47" s="6" t="s">
        <v>4041</v>
      </c>
      <c r="B47" s="7" t="s">
        <v>4042</v>
      </c>
      <c r="C47" s="8">
        <v>1</v>
      </c>
      <c r="D47" s="9">
        <v>119.99</v>
      </c>
      <c r="E47" s="8" t="s">
        <v>4043</v>
      </c>
      <c r="F47" s="7" t="s">
        <v>3720</v>
      </c>
      <c r="G47" s="10"/>
      <c r="H47" s="7" t="s">
        <v>3452</v>
      </c>
      <c r="I47" s="7" t="s">
        <v>3834</v>
      </c>
      <c r="J47" s="7"/>
      <c r="K47" s="7"/>
      <c r="L47" s="11"/>
    </row>
    <row r="48" spans="1:12" ht="39.950000000000003" customHeight="1" x14ac:dyDescent="0.25">
      <c r="A48" s="6" t="s">
        <v>3667</v>
      </c>
      <c r="B48" s="7" t="s">
        <v>3668</v>
      </c>
      <c r="C48" s="8">
        <v>12</v>
      </c>
      <c r="D48" s="9">
        <v>480</v>
      </c>
      <c r="E48" s="8"/>
      <c r="F48" s="7" t="s">
        <v>3610</v>
      </c>
      <c r="G48" s="10" t="s">
        <v>3489</v>
      </c>
      <c r="H48" s="7" t="s">
        <v>3669</v>
      </c>
      <c r="I48" s="7" t="s">
        <v>3670</v>
      </c>
      <c r="J48" s="7"/>
      <c r="K48" s="7"/>
      <c r="L48" s="11"/>
    </row>
    <row r="49" spans="1:12" ht="39.950000000000003" customHeight="1" x14ac:dyDescent="0.25">
      <c r="A49" s="6" t="s">
        <v>4044</v>
      </c>
      <c r="B49" s="7" t="s">
        <v>4045</v>
      </c>
      <c r="C49" s="8">
        <v>1</v>
      </c>
      <c r="D49" s="9">
        <v>79.989999999999995</v>
      </c>
      <c r="E49" s="8" t="s">
        <v>4046</v>
      </c>
      <c r="F49" s="7" t="s">
        <v>4047</v>
      </c>
      <c r="G49" s="10"/>
      <c r="H49" s="7" t="s">
        <v>3440</v>
      </c>
      <c r="I49" s="7" t="s">
        <v>3683</v>
      </c>
      <c r="J49" s="7"/>
      <c r="K49" s="7"/>
      <c r="L49" s="11"/>
    </row>
    <row r="50" spans="1:12" ht="39.950000000000003" customHeight="1" x14ac:dyDescent="0.25">
      <c r="A50" s="6" t="s">
        <v>4048</v>
      </c>
      <c r="B50" s="7" t="s">
        <v>4049</v>
      </c>
      <c r="C50" s="8">
        <v>1</v>
      </c>
      <c r="D50" s="9">
        <v>69.989999999999995</v>
      </c>
      <c r="E50" s="8" t="s">
        <v>4050</v>
      </c>
      <c r="F50" s="7" t="s">
        <v>3445</v>
      </c>
      <c r="G50" s="10"/>
      <c r="H50" s="7" t="s">
        <v>3440</v>
      </c>
      <c r="I50" s="7" t="s">
        <v>4036</v>
      </c>
      <c r="J50" s="7"/>
      <c r="K50" s="7"/>
      <c r="L50" s="11"/>
    </row>
    <row r="51" spans="1:12" ht="39.950000000000003" customHeight="1" x14ac:dyDescent="0.25">
      <c r="A51" s="6" t="s">
        <v>4051</v>
      </c>
      <c r="B51" s="7" t="s">
        <v>4052</v>
      </c>
      <c r="C51" s="8">
        <v>2</v>
      </c>
      <c r="D51" s="9">
        <v>20</v>
      </c>
      <c r="E51" s="8" t="s">
        <v>4053</v>
      </c>
      <c r="F51" s="7" t="s">
        <v>3445</v>
      </c>
      <c r="G51" s="10"/>
      <c r="H51" s="7" t="s">
        <v>3559</v>
      </c>
      <c r="I51" s="7" t="s">
        <v>4054</v>
      </c>
      <c r="J51" s="7"/>
      <c r="K51" s="7"/>
      <c r="L51" s="11"/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activeCell="C2" sqref="C2"/>
    </sheetView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4055</v>
      </c>
      <c r="B2" s="7" t="s">
        <v>4056</v>
      </c>
      <c r="C2" s="8">
        <v>1</v>
      </c>
      <c r="D2" s="9">
        <v>270.99</v>
      </c>
      <c r="E2" s="8" t="s">
        <v>4057</v>
      </c>
      <c r="F2" s="7" t="s">
        <v>4058</v>
      </c>
      <c r="G2" s="10" t="s">
        <v>4059</v>
      </c>
      <c r="H2" s="7" t="s">
        <v>3478</v>
      </c>
      <c r="I2" s="7" t="s">
        <v>4060</v>
      </c>
      <c r="J2" s="7" t="s">
        <v>3426</v>
      </c>
      <c r="K2" s="7" t="s">
        <v>4061</v>
      </c>
      <c r="L2" s="11" t="str">
        <f>HYPERLINK("http://slimages.macys.com/is/image/MCY/10784439 ")</f>
        <v xml:space="preserve">http://slimages.macys.com/is/image/MCY/10784439 </v>
      </c>
    </row>
    <row r="3" spans="1:12" ht="39.950000000000003" customHeight="1" x14ac:dyDescent="0.25">
      <c r="A3" s="6" t="s">
        <v>4062</v>
      </c>
      <c r="B3" s="7" t="s">
        <v>4063</v>
      </c>
      <c r="C3" s="8">
        <v>1</v>
      </c>
      <c r="D3" s="9">
        <v>299.99</v>
      </c>
      <c r="E3" s="8" t="s">
        <v>4064</v>
      </c>
      <c r="F3" s="7" t="s">
        <v>3504</v>
      </c>
      <c r="G3" s="10"/>
      <c r="H3" s="7" t="s">
        <v>3440</v>
      </c>
      <c r="I3" s="7" t="s">
        <v>3683</v>
      </c>
      <c r="J3" s="7" t="s">
        <v>3426</v>
      </c>
      <c r="K3" s="7" t="s">
        <v>4065</v>
      </c>
      <c r="L3" s="11" t="str">
        <f>HYPERLINK("http://slimages.macys.com/is/image/MCY/16355823 ")</f>
        <v xml:space="preserve">http://slimages.macys.com/is/image/MCY/16355823 </v>
      </c>
    </row>
    <row r="4" spans="1:12" ht="39.950000000000003" customHeight="1" x14ac:dyDescent="0.25">
      <c r="A4" s="6" t="s">
        <v>4066</v>
      </c>
      <c r="B4" s="7" t="s">
        <v>4067</v>
      </c>
      <c r="C4" s="8">
        <v>1</v>
      </c>
      <c r="D4" s="9">
        <v>199.99</v>
      </c>
      <c r="E4" s="8" t="s">
        <v>4068</v>
      </c>
      <c r="F4" s="7" t="s">
        <v>3445</v>
      </c>
      <c r="G4" s="10"/>
      <c r="H4" s="7" t="s">
        <v>3440</v>
      </c>
      <c r="I4" s="7" t="s">
        <v>3683</v>
      </c>
      <c r="J4" s="7" t="s">
        <v>3426</v>
      </c>
      <c r="K4" s="7" t="s">
        <v>4069</v>
      </c>
      <c r="L4" s="11" t="str">
        <f>HYPERLINK("http://slimages.macys.com/is/image/MCY/13042754 ")</f>
        <v xml:space="preserve">http://slimages.macys.com/is/image/MCY/13042754 </v>
      </c>
    </row>
    <row r="5" spans="1:12" ht="39.950000000000003" customHeight="1" x14ac:dyDescent="0.25">
      <c r="A5" s="6" t="s">
        <v>4070</v>
      </c>
      <c r="B5" s="7" t="s">
        <v>4071</v>
      </c>
      <c r="C5" s="8">
        <v>1</v>
      </c>
      <c r="D5" s="9">
        <v>169.99</v>
      </c>
      <c r="E5" s="8" t="s">
        <v>4072</v>
      </c>
      <c r="F5" s="7" t="s">
        <v>4022</v>
      </c>
      <c r="G5" s="10"/>
      <c r="H5" s="7" t="s">
        <v>3452</v>
      </c>
      <c r="I5" s="7" t="s">
        <v>3453</v>
      </c>
      <c r="J5" s="7" t="s">
        <v>3426</v>
      </c>
      <c r="K5" s="7" t="s">
        <v>4073</v>
      </c>
      <c r="L5" s="11" t="str">
        <f>HYPERLINK("http://slimages.macys.com/is/image/MCY/8756784 ")</f>
        <v xml:space="preserve">http://slimages.macys.com/is/image/MCY/8756784 </v>
      </c>
    </row>
    <row r="6" spans="1:12" ht="39.950000000000003" customHeight="1" x14ac:dyDescent="0.25">
      <c r="A6" s="6" t="s">
        <v>4074</v>
      </c>
      <c r="B6" s="7" t="s">
        <v>4075</v>
      </c>
      <c r="C6" s="8">
        <v>1</v>
      </c>
      <c r="D6" s="9">
        <v>129.99</v>
      </c>
      <c r="E6" s="8" t="s">
        <v>4076</v>
      </c>
      <c r="F6" s="7" t="s">
        <v>3477</v>
      </c>
      <c r="G6" s="10"/>
      <c r="H6" s="7" t="s">
        <v>3424</v>
      </c>
      <c r="I6" s="7" t="s">
        <v>3508</v>
      </c>
      <c r="J6" s="7" t="s">
        <v>3426</v>
      </c>
      <c r="K6" s="7" t="s">
        <v>4077</v>
      </c>
      <c r="L6" s="11" t="str">
        <f>HYPERLINK("http://slimages.macys.com/is/image/MCY/9248689 ")</f>
        <v xml:space="preserve">http://slimages.macys.com/is/image/MCY/9248689 </v>
      </c>
    </row>
    <row r="7" spans="1:12" ht="39.950000000000003" customHeight="1" x14ac:dyDescent="0.25">
      <c r="A7" s="6" t="s">
        <v>4078</v>
      </c>
      <c r="B7" s="7" t="s">
        <v>4079</v>
      </c>
      <c r="C7" s="8">
        <v>2</v>
      </c>
      <c r="D7" s="9">
        <v>219.98</v>
      </c>
      <c r="E7" s="8" t="s">
        <v>4080</v>
      </c>
      <c r="F7" s="7" t="s">
        <v>3431</v>
      </c>
      <c r="G7" s="10"/>
      <c r="H7" s="7" t="s">
        <v>3478</v>
      </c>
      <c r="I7" s="7" t="s">
        <v>3553</v>
      </c>
      <c r="J7" s="7" t="s">
        <v>3426</v>
      </c>
      <c r="K7" s="7" t="s">
        <v>3518</v>
      </c>
      <c r="L7" s="11" t="str">
        <f>HYPERLINK("http://slimages.macys.com/is/image/MCY/16650276 ")</f>
        <v xml:space="preserve">http://slimages.macys.com/is/image/MCY/16650276 </v>
      </c>
    </row>
    <row r="8" spans="1:12" ht="39.950000000000003" customHeight="1" x14ac:dyDescent="0.25">
      <c r="A8" s="6" t="s">
        <v>4081</v>
      </c>
      <c r="B8" s="7" t="s">
        <v>4082</v>
      </c>
      <c r="C8" s="8">
        <v>1</v>
      </c>
      <c r="D8" s="9">
        <v>149.99</v>
      </c>
      <c r="E8" s="8" t="s">
        <v>4083</v>
      </c>
      <c r="F8" s="7" t="s">
        <v>3511</v>
      </c>
      <c r="G8" s="10"/>
      <c r="H8" s="7" t="s">
        <v>3440</v>
      </c>
      <c r="I8" s="7" t="s">
        <v>4084</v>
      </c>
      <c r="J8" s="7" t="s">
        <v>3426</v>
      </c>
      <c r="K8" s="7" t="s">
        <v>3835</v>
      </c>
      <c r="L8" s="11" t="str">
        <f>HYPERLINK("http://slimages.macys.com/is/image/MCY/3573212 ")</f>
        <v xml:space="preserve">http://slimages.macys.com/is/image/MCY/3573212 </v>
      </c>
    </row>
    <row r="9" spans="1:12" ht="39.950000000000003" customHeight="1" x14ac:dyDescent="0.25">
      <c r="A9" s="6" t="s">
        <v>4085</v>
      </c>
      <c r="B9" s="7" t="s">
        <v>4086</v>
      </c>
      <c r="C9" s="8">
        <v>1</v>
      </c>
      <c r="D9" s="9">
        <v>99.99</v>
      </c>
      <c r="E9" s="8" t="s">
        <v>4087</v>
      </c>
      <c r="F9" s="7" t="s">
        <v>4088</v>
      </c>
      <c r="G9" s="10"/>
      <c r="H9" s="7" t="s">
        <v>3467</v>
      </c>
      <c r="I9" s="7" t="s">
        <v>3468</v>
      </c>
      <c r="J9" s="7" t="s">
        <v>3426</v>
      </c>
      <c r="K9" s="7" t="s">
        <v>4089</v>
      </c>
      <c r="L9" s="11" t="str">
        <f>HYPERLINK("http://slimages.macys.com/is/image/MCY/12355117 ")</f>
        <v xml:space="preserve">http://slimages.macys.com/is/image/MCY/12355117 </v>
      </c>
    </row>
    <row r="10" spans="1:12" ht="39.950000000000003" customHeight="1" x14ac:dyDescent="0.25">
      <c r="A10" s="6" t="s">
        <v>4090</v>
      </c>
      <c r="B10" s="7" t="s">
        <v>4091</v>
      </c>
      <c r="C10" s="8">
        <v>1</v>
      </c>
      <c r="D10" s="9">
        <v>99.99</v>
      </c>
      <c r="E10" s="8" t="s">
        <v>4092</v>
      </c>
      <c r="F10" s="7" t="s">
        <v>3511</v>
      </c>
      <c r="G10" s="10"/>
      <c r="H10" s="7" t="s">
        <v>3467</v>
      </c>
      <c r="I10" s="7" t="s">
        <v>3468</v>
      </c>
      <c r="J10" s="7"/>
      <c r="K10" s="7"/>
      <c r="L10" s="11" t="str">
        <f>HYPERLINK("http://slimages.macys.com/is/image/MCY/17662849 ")</f>
        <v xml:space="preserve">http://slimages.macys.com/is/image/MCY/17662849 </v>
      </c>
    </row>
    <row r="11" spans="1:12" ht="39.950000000000003" customHeight="1" x14ac:dyDescent="0.25">
      <c r="A11" s="6" t="s">
        <v>4093</v>
      </c>
      <c r="B11" s="7" t="s">
        <v>4094</v>
      </c>
      <c r="C11" s="8">
        <v>1</v>
      </c>
      <c r="D11" s="9">
        <v>79.989999999999995</v>
      </c>
      <c r="E11" s="8" t="s">
        <v>4095</v>
      </c>
      <c r="F11" s="7" t="s">
        <v>4096</v>
      </c>
      <c r="G11" s="10"/>
      <c r="H11" s="7" t="s">
        <v>3452</v>
      </c>
      <c r="I11" s="7" t="s">
        <v>3453</v>
      </c>
      <c r="J11" s="7" t="s">
        <v>3426</v>
      </c>
      <c r="K11" s="7" t="s">
        <v>4097</v>
      </c>
      <c r="L11" s="11" t="str">
        <f>HYPERLINK("http://slimages.macys.com/is/image/MCY/2845386 ")</f>
        <v xml:space="preserve">http://slimages.macys.com/is/image/MCY/2845386 </v>
      </c>
    </row>
    <row r="12" spans="1:12" ht="39.950000000000003" customHeight="1" x14ac:dyDescent="0.25">
      <c r="A12" s="6" t="s">
        <v>4098</v>
      </c>
      <c r="B12" s="7" t="s">
        <v>4099</v>
      </c>
      <c r="C12" s="8">
        <v>1</v>
      </c>
      <c r="D12" s="9">
        <v>88.99</v>
      </c>
      <c r="E12" s="8" t="s">
        <v>4100</v>
      </c>
      <c r="F12" s="7" t="s">
        <v>4101</v>
      </c>
      <c r="G12" s="10"/>
      <c r="H12" s="7" t="s">
        <v>3478</v>
      </c>
      <c r="I12" s="7" t="s">
        <v>3815</v>
      </c>
      <c r="J12" s="7" t="s">
        <v>3426</v>
      </c>
      <c r="K12" s="7" t="s">
        <v>3556</v>
      </c>
      <c r="L12" s="11" t="str">
        <f>HYPERLINK("http://slimages.macys.com/is/image/MCY/16503879 ")</f>
        <v xml:space="preserve">http://slimages.macys.com/is/image/MCY/16503879 </v>
      </c>
    </row>
    <row r="13" spans="1:12" ht="39.950000000000003" customHeight="1" x14ac:dyDescent="0.25">
      <c r="A13" s="6" t="s">
        <v>4102</v>
      </c>
      <c r="B13" s="7" t="s">
        <v>4103</v>
      </c>
      <c r="C13" s="8">
        <v>1</v>
      </c>
      <c r="D13" s="9">
        <v>64.989999999999995</v>
      </c>
      <c r="E13" s="8">
        <v>199456</v>
      </c>
      <c r="F13" s="7" t="s">
        <v>3445</v>
      </c>
      <c r="G13" s="10"/>
      <c r="H13" s="7" t="s">
        <v>3424</v>
      </c>
      <c r="I13" s="7" t="s">
        <v>4104</v>
      </c>
      <c r="J13" s="7" t="s">
        <v>3426</v>
      </c>
      <c r="K13" s="7" t="s">
        <v>3518</v>
      </c>
      <c r="L13" s="11" t="str">
        <f>HYPERLINK("http://slimages.macys.com/is/image/MCY/15729532 ")</f>
        <v xml:space="preserve">http://slimages.macys.com/is/image/MCY/15729532 </v>
      </c>
    </row>
    <row r="14" spans="1:12" ht="39.950000000000003" customHeight="1" x14ac:dyDescent="0.25">
      <c r="A14" s="6" t="s">
        <v>4105</v>
      </c>
      <c r="B14" s="7" t="s">
        <v>4106</v>
      </c>
      <c r="C14" s="8">
        <v>1</v>
      </c>
      <c r="D14" s="9">
        <v>59.99</v>
      </c>
      <c r="E14" s="8">
        <v>81338</v>
      </c>
      <c r="F14" s="7" t="s">
        <v>3716</v>
      </c>
      <c r="G14" s="10"/>
      <c r="H14" s="7" t="s">
        <v>3478</v>
      </c>
      <c r="I14" s="7" t="s">
        <v>3479</v>
      </c>
      <c r="J14" s="7" t="s">
        <v>3426</v>
      </c>
      <c r="K14" s="7" t="s">
        <v>3518</v>
      </c>
      <c r="L14" s="11" t="str">
        <f>HYPERLINK("http://slimages.macys.com/is/image/MCY/15670928 ")</f>
        <v xml:space="preserve">http://slimages.macys.com/is/image/MCY/15670928 </v>
      </c>
    </row>
    <row r="15" spans="1:12" ht="39.950000000000003" customHeight="1" x14ac:dyDescent="0.25">
      <c r="A15" s="6" t="s">
        <v>4107</v>
      </c>
      <c r="B15" s="7" t="s">
        <v>4108</v>
      </c>
      <c r="C15" s="8">
        <v>1</v>
      </c>
      <c r="D15" s="9">
        <v>79.989999999999995</v>
      </c>
      <c r="E15" s="8" t="s">
        <v>4109</v>
      </c>
      <c r="F15" s="7" t="s">
        <v>3463</v>
      </c>
      <c r="G15" s="10"/>
      <c r="H15" s="7" t="s">
        <v>3452</v>
      </c>
      <c r="I15" s="7" t="s">
        <v>3834</v>
      </c>
      <c r="J15" s="7"/>
      <c r="K15" s="7"/>
      <c r="L15" s="11" t="str">
        <f>HYPERLINK("http://slimages.macys.com/is/image/MCY/17997342 ")</f>
        <v xml:space="preserve">http://slimages.macys.com/is/image/MCY/17997342 </v>
      </c>
    </row>
    <row r="16" spans="1:12" ht="39.950000000000003" customHeight="1" x14ac:dyDescent="0.25">
      <c r="A16" s="6" t="s">
        <v>4110</v>
      </c>
      <c r="B16" s="7" t="s">
        <v>4111</v>
      </c>
      <c r="C16" s="8">
        <v>1</v>
      </c>
      <c r="D16" s="9">
        <v>64.989999999999995</v>
      </c>
      <c r="E16" s="8" t="s">
        <v>4112</v>
      </c>
      <c r="F16" s="7" t="s">
        <v>3804</v>
      </c>
      <c r="G16" s="10"/>
      <c r="H16" s="7" t="s">
        <v>3478</v>
      </c>
      <c r="I16" s="7" t="s">
        <v>4113</v>
      </c>
      <c r="J16" s="7" t="s">
        <v>3426</v>
      </c>
      <c r="K16" s="7" t="s">
        <v>3518</v>
      </c>
      <c r="L16" s="11" t="str">
        <f>HYPERLINK("http://slimages.macys.com/is/image/MCY/10290998 ")</f>
        <v xml:space="preserve">http://slimages.macys.com/is/image/MCY/10290998 </v>
      </c>
    </row>
    <row r="17" spans="1:12" ht="39.950000000000003" customHeight="1" x14ac:dyDescent="0.25">
      <c r="A17" s="6" t="s">
        <v>4114</v>
      </c>
      <c r="B17" s="7" t="s">
        <v>4115</v>
      </c>
      <c r="C17" s="8">
        <v>1</v>
      </c>
      <c r="D17" s="9">
        <v>39.99</v>
      </c>
      <c r="E17" s="8">
        <v>17797</v>
      </c>
      <c r="F17" s="7" t="s">
        <v>3438</v>
      </c>
      <c r="G17" s="10" t="s">
        <v>3489</v>
      </c>
      <c r="H17" s="7" t="s">
        <v>3490</v>
      </c>
      <c r="I17" s="7" t="s">
        <v>3943</v>
      </c>
      <c r="J17" s="7" t="s">
        <v>3426</v>
      </c>
      <c r="K17" s="7" t="s">
        <v>3518</v>
      </c>
      <c r="L17" s="11" t="str">
        <f>HYPERLINK("http://slimages.macys.com/is/image/MCY/9175647 ")</f>
        <v xml:space="preserve">http://slimages.macys.com/is/image/MCY/9175647 </v>
      </c>
    </row>
    <row r="18" spans="1:12" ht="39.950000000000003" customHeight="1" x14ac:dyDescent="0.25">
      <c r="A18" s="6" t="s">
        <v>4116</v>
      </c>
      <c r="B18" s="7" t="s">
        <v>4117</v>
      </c>
      <c r="C18" s="8">
        <v>1</v>
      </c>
      <c r="D18" s="9">
        <v>49.99</v>
      </c>
      <c r="E18" s="8" t="s">
        <v>4118</v>
      </c>
      <c r="F18" s="7" t="s">
        <v>3477</v>
      </c>
      <c r="G18" s="10" t="s">
        <v>3489</v>
      </c>
      <c r="H18" s="7" t="s">
        <v>3432</v>
      </c>
      <c r="I18" s="7" t="s">
        <v>4119</v>
      </c>
      <c r="J18" s="7" t="s">
        <v>3426</v>
      </c>
      <c r="K18" s="7"/>
      <c r="L18" s="11" t="str">
        <f>HYPERLINK("http://slimages.macys.com/is/image/MCY/8757380 ")</f>
        <v xml:space="preserve">http://slimages.macys.com/is/image/MCY/8757380 </v>
      </c>
    </row>
    <row r="19" spans="1:12" ht="39.950000000000003" customHeight="1" x14ac:dyDescent="0.25">
      <c r="A19" s="6" t="s">
        <v>4120</v>
      </c>
      <c r="B19" s="7" t="s">
        <v>4121</v>
      </c>
      <c r="C19" s="8">
        <v>1</v>
      </c>
      <c r="D19" s="9">
        <v>49.99</v>
      </c>
      <c r="E19" s="8">
        <v>2000000035</v>
      </c>
      <c r="F19" s="7" t="s">
        <v>3496</v>
      </c>
      <c r="G19" s="10"/>
      <c r="H19" s="7" t="s">
        <v>3478</v>
      </c>
      <c r="I19" s="7" t="s">
        <v>3517</v>
      </c>
      <c r="J19" s="7"/>
      <c r="K19" s="7"/>
      <c r="L19" s="11" t="str">
        <f>HYPERLINK("http://slimages.macys.com/is/image/MCY/17814255 ")</f>
        <v xml:space="preserve">http://slimages.macys.com/is/image/MCY/17814255 </v>
      </c>
    </row>
    <row r="20" spans="1:12" ht="39.950000000000003" customHeight="1" x14ac:dyDescent="0.25">
      <c r="A20" s="6" t="s">
        <v>4122</v>
      </c>
      <c r="B20" s="7" t="s">
        <v>4123</v>
      </c>
      <c r="C20" s="8">
        <v>1</v>
      </c>
      <c r="D20" s="9">
        <v>49.99</v>
      </c>
      <c r="E20" s="8" t="s">
        <v>4124</v>
      </c>
      <c r="F20" s="7" t="s">
        <v>3463</v>
      </c>
      <c r="G20" s="10"/>
      <c r="H20" s="7" t="s">
        <v>3478</v>
      </c>
      <c r="I20" s="7" t="s">
        <v>3517</v>
      </c>
      <c r="J20" s="7" t="s">
        <v>3426</v>
      </c>
      <c r="K20" s="7" t="s">
        <v>3518</v>
      </c>
      <c r="L20" s="11" t="str">
        <f>HYPERLINK("http://slimages.macys.com/is/image/MCY/8347198 ")</f>
        <v xml:space="preserve">http://slimages.macys.com/is/image/MCY/8347198 </v>
      </c>
    </row>
    <row r="21" spans="1:12" ht="39.950000000000003" customHeight="1" x14ac:dyDescent="0.25">
      <c r="A21" s="6" t="s">
        <v>3758</v>
      </c>
      <c r="B21" s="7" t="s">
        <v>3759</v>
      </c>
      <c r="C21" s="8">
        <v>1</v>
      </c>
      <c r="D21" s="9">
        <v>49.99</v>
      </c>
      <c r="E21" s="8" t="s">
        <v>3760</v>
      </c>
      <c r="F21" s="7" t="s">
        <v>3445</v>
      </c>
      <c r="G21" s="10"/>
      <c r="H21" s="7" t="s">
        <v>3478</v>
      </c>
      <c r="I21" s="7" t="s">
        <v>3517</v>
      </c>
      <c r="J21" s="7" t="s">
        <v>3426</v>
      </c>
      <c r="K21" s="7" t="s">
        <v>3592</v>
      </c>
      <c r="L21" s="11" t="str">
        <f>HYPERLINK("http://slimages.macys.com/is/image/MCY/9330026 ")</f>
        <v xml:space="preserve">http://slimages.macys.com/is/image/MCY/9330026 </v>
      </c>
    </row>
    <row r="22" spans="1:12" ht="39.950000000000003" customHeight="1" x14ac:dyDescent="0.25">
      <c r="A22" s="6" t="s">
        <v>4125</v>
      </c>
      <c r="B22" s="7" t="s">
        <v>4126</v>
      </c>
      <c r="C22" s="8">
        <v>1</v>
      </c>
      <c r="D22" s="9">
        <v>59.99</v>
      </c>
      <c r="E22" s="8">
        <v>10004845700</v>
      </c>
      <c r="F22" s="7" t="s">
        <v>3438</v>
      </c>
      <c r="G22" s="10" t="s">
        <v>3809</v>
      </c>
      <c r="H22" s="7" t="s">
        <v>3513</v>
      </c>
      <c r="I22" s="7" t="s">
        <v>4127</v>
      </c>
      <c r="J22" s="7" t="s">
        <v>3426</v>
      </c>
      <c r="K22" s="7"/>
      <c r="L22" s="11" t="str">
        <f>HYPERLINK("http://slimages.macys.com/is/image/MCY/11975502 ")</f>
        <v xml:space="preserve">http://slimages.macys.com/is/image/MCY/11975502 </v>
      </c>
    </row>
    <row r="23" spans="1:12" ht="39.950000000000003" customHeight="1" x14ac:dyDescent="0.25">
      <c r="A23" s="6" t="s">
        <v>4128</v>
      </c>
      <c r="B23" s="7" t="s">
        <v>4129</v>
      </c>
      <c r="C23" s="8">
        <v>1</v>
      </c>
      <c r="D23" s="9">
        <v>39.99</v>
      </c>
      <c r="E23" s="8">
        <v>52831</v>
      </c>
      <c r="F23" s="7" t="s">
        <v>3511</v>
      </c>
      <c r="G23" s="10"/>
      <c r="H23" s="7" t="s">
        <v>3490</v>
      </c>
      <c r="I23" s="7" t="s">
        <v>3649</v>
      </c>
      <c r="J23" s="7" t="s">
        <v>3426</v>
      </c>
      <c r="K23" s="7"/>
      <c r="L23" s="11" t="str">
        <f>HYPERLINK("http://slimages.macys.com/is/image/MCY/9449371 ")</f>
        <v xml:space="preserve">http://slimages.macys.com/is/image/MCY/9449371 </v>
      </c>
    </row>
    <row r="24" spans="1:12" ht="39.950000000000003" customHeight="1" x14ac:dyDescent="0.25">
      <c r="A24" s="6" t="s">
        <v>4130</v>
      </c>
      <c r="B24" s="7" t="s">
        <v>4131</v>
      </c>
      <c r="C24" s="8">
        <v>1</v>
      </c>
      <c r="D24" s="9">
        <v>49.99</v>
      </c>
      <c r="E24" s="8">
        <v>10004844600</v>
      </c>
      <c r="F24" s="7" t="s">
        <v>3438</v>
      </c>
      <c r="G24" s="10"/>
      <c r="H24" s="7" t="s">
        <v>3513</v>
      </c>
      <c r="I24" s="7" t="s">
        <v>4127</v>
      </c>
      <c r="J24" s="7" t="s">
        <v>3426</v>
      </c>
      <c r="K24" s="7"/>
      <c r="L24" s="11" t="str">
        <f>HYPERLINK("http://slimages.macys.com/is/image/MCY/11975295 ")</f>
        <v xml:space="preserve">http://slimages.macys.com/is/image/MCY/11975295 </v>
      </c>
    </row>
    <row r="25" spans="1:12" ht="39.950000000000003" customHeight="1" x14ac:dyDescent="0.25">
      <c r="A25" s="6" t="s">
        <v>4132</v>
      </c>
      <c r="B25" s="7" t="s">
        <v>4133</v>
      </c>
      <c r="C25" s="8">
        <v>2</v>
      </c>
      <c r="D25" s="9">
        <v>69.98</v>
      </c>
      <c r="E25" s="8" t="s">
        <v>4134</v>
      </c>
      <c r="F25" s="7" t="s">
        <v>3511</v>
      </c>
      <c r="G25" s="10"/>
      <c r="H25" s="7" t="s">
        <v>3452</v>
      </c>
      <c r="I25" s="7" t="s">
        <v>4135</v>
      </c>
      <c r="J25" s="7" t="s">
        <v>3426</v>
      </c>
      <c r="K25" s="7"/>
      <c r="L25" s="11" t="str">
        <f>HYPERLINK("http://slimages.macys.com/is/image/MCY/8395061 ")</f>
        <v xml:space="preserve">http://slimages.macys.com/is/image/MCY/8395061 </v>
      </c>
    </row>
    <row r="26" spans="1:12" ht="39.950000000000003" customHeight="1" x14ac:dyDescent="0.25">
      <c r="A26" s="6" t="s">
        <v>4136</v>
      </c>
      <c r="B26" s="7" t="s">
        <v>4137</v>
      </c>
      <c r="C26" s="8">
        <v>1</v>
      </c>
      <c r="D26" s="9">
        <v>41.99</v>
      </c>
      <c r="E26" s="8" t="s">
        <v>4138</v>
      </c>
      <c r="F26" s="7"/>
      <c r="G26" s="10" t="s">
        <v>3942</v>
      </c>
      <c r="H26" s="7" t="s">
        <v>3490</v>
      </c>
      <c r="I26" s="7" t="s">
        <v>4139</v>
      </c>
      <c r="J26" s="7" t="s">
        <v>3601</v>
      </c>
      <c r="K26" s="7"/>
      <c r="L26" s="11" t="str">
        <f>HYPERLINK("http://slimages.macys.com/is/image/MCY/8641360 ")</f>
        <v xml:space="preserve">http://slimages.macys.com/is/image/MCY/8641360 </v>
      </c>
    </row>
    <row r="27" spans="1:12" ht="39.950000000000003" customHeight="1" x14ac:dyDescent="0.25">
      <c r="A27" s="6" t="s">
        <v>4140</v>
      </c>
      <c r="B27" s="7" t="s">
        <v>4141</v>
      </c>
      <c r="C27" s="8">
        <v>1</v>
      </c>
      <c r="D27" s="9">
        <v>48.99</v>
      </c>
      <c r="E27" s="8" t="s">
        <v>4142</v>
      </c>
      <c r="F27" s="7" t="s">
        <v>3892</v>
      </c>
      <c r="G27" s="10"/>
      <c r="H27" s="7" t="s">
        <v>3478</v>
      </c>
      <c r="I27" s="7" t="s">
        <v>4143</v>
      </c>
      <c r="J27" s="7" t="s">
        <v>3426</v>
      </c>
      <c r="K27" s="7" t="s">
        <v>3518</v>
      </c>
      <c r="L27" s="11" t="str">
        <f>HYPERLINK("http://slimages.macys.com/is/image/MCY/10434239 ")</f>
        <v xml:space="preserve">http://slimages.macys.com/is/image/MCY/10434239 </v>
      </c>
    </row>
    <row r="28" spans="1:12" ht="39.950000000000003" customHeight="1" x14ac:dyDescent="0.25">
      <c r="A28" s="6" t="s">
        <v>4144</v>
      </c>
      <c r="B28" s="7" t="s">
        <v>4145</v>
      </c>
      <c r="C28" s="8">
        <v>1</v>
      </c>
      <c r="D28" s="9">
        <v>79.989999999999995</v>
      </c>
      <c r="E28" s="8" t="s">
        <v>4146</v>
      </c>
      <c r="F28" s="7" t="s">
        <v>3445</v>
      </c>
      <c r="G28" s="10"/>
      <c r="H28" s="7" t="s">
        <v>3525</v>
      </c>
      <c r="I28" s="7" t="s">
        <v>3548</v>
      </c>
      <c r="J28" s="7" t="s">
        <v>3549</v>
      </c>
      <c r="K28" s="7"/>
      <c r="L28" s="11" t="str">
        <f>HYPERLINK("http://slimages.macys.com/is/image/MCY/12779303 ")</f>
        <v xml:space="preserve">http://slimages.macys.com/is/image/MCY/12779303 </v>
      </c>
    </row>
    <row r="29" spans="1:12" ht="39.950000000000003" customHeight="1" x14ac:dyDescent="0.25">
      <c r="A29" s="6" t="s">
        <v>4147</v>
      </c>
      <c r="B29" s="7" t="s">
        <v>4148</v>
      </c>
      <c r="C29" s="8">
        <v>1</v>
      </c>
      <c r="D29" s="9">
        <v>44.99</v>
      </c>
      <c r="E29" s="8" t="s">
        <v>4149</v>
      </c>
      <c r="F29" s="7" t="s">
        <v>3500</v>
      </c>
      <c r="G29" s="10"/>
      <c r="H29" s="7" t="s">
        <v>3452</v>
      </c>
      <c r="I29" s="7" t="s">
        <v>3453</v>
      </c>
      <c r="J29" s="7"/>
      <c r="K29" s="7"/>
      <c r="L29" s="11" t="str">
        <f>HYPERLINK("http://slimages.macys.com/is/image/MCY/17773207 ")</f>
        <v xml:space="preserve">http://slimages.macys.com/is/image/MCY/17773207 </v>
      </c>
    </row>
    <row r="30" spans="1:12" ht="39.950000000000003" customHeight="1" x14ac:dyDescent="0.25">
      <c r="A30" s="6" t="s">
        <v>4150</v>
      </c>
      <c r="B30" s="7" t="s">
        <v>4151</v>
      </c>
      <c r="C30" s="8">
        <v>1</v>
      </c>
      <c r="D30" s="9">
        <v>78.11</v>
      </c>
      <c r="E30" s="8" t="s">
        <v>4152</v>
      </c>
      <c r="F30" s="7"/>
      <c r="G30" s="10"/>
      <c r="H30" s="7" t="s">
        <v>3542</v>
      </c>
      <c r="I30" s="7" t="s">
        <v>3543</v>
      </c>
      <c r="J30" s="7" t="s">
        <v>3426</v>
      </c>
      <c r="K30" s="7" t="s">
        <v>3518</v>
      </c>
      <c r="L30" s="11" t="str">
        <f>HYPERLINK("http://slimages.macys.com/is/image/MCY/15710262 ")</f>
        <v xml:space="preserve">http://slimages.macys.com/is/image/MCY/15710262 </v>
      </c>
    </row>
    <row r="31" spans="1:12" ht="39.950000000000003" customHeight="1" x14ac:dyDescent="0.25">
      <c r="A31" s="6" t="s">
        <v>3795</v>
      </c>
      <c r="B31" s="7" t="s">
        <v>3796</v>
      </c>
      <c r="C31" s="8">
        <v>1</v>
      </c>
      <c r="D31" s="9">
        <v>41.99</v>
      </c>
      <c r="E31" s="8" t="s">
        <v>3797</v>
      </c>
      <c r="F31" s="7" t="s">
        <v>3477</v>
      </c>
      <c r="G31" s="10"/>
      <c r="H31" s="7" t="s">
        <v>3676</v>
      </c>
      <c r="I31" s="7" t="s">
        <v>3677</v>
      </c>
      <c r="J31" s="7"/>
      <c r="K31" s="7"/>
      <c r="L31" s="11" t="str">
        <f>HYPERLINK("http://slimages.macys.com/is/image/MCY/9489266 ")</f>
        <v xml:space="preserve">http://slimages.macys.com/is/image/MCY/9489266 </v>
      </c>
    </row>
    <row r="32" spans="1:12" ht="39.950000000000003" customHeight="1" x14ac:dyDescent="0.25">
      <c r="A32" s="6" t="s">
        <v>4153</v>
      </c>
      <c r="B32" s="7" t="s">
        <v>4154</v>
      </c>
      <c r="C32" s="8">
        <v>1</v>
      </c>
      <c r="D32" s="9">
        <v>34.99</v>
      </c>
      <c r="E32" s="8" t="s">
        <v>4155</v>
      </c>
      <c r="F32" s="7" t="s">
        <v>3445</v>
      </c>
      <c r="G32" s="10" t="s">
        <v>4156</v>
      </c>
      <c r="H32" s="7" t="s">
        <v>3490</v>
      </c>
      <c r="I32" s="7" t="s">
        <v>4157</v>
      </c>
      <c r="J32" s="7" t="s">
        <v>3426</v>
      </c>
      <c r="K32" s="7"/>
      <c r="L32" s="11" t="str">
        <f>HYPERLINK("http://slimages.macys.com/is/image/MCY/15176415 ")</f>
        <v xml:space="preserve">http://slimages.macys.com/is/image/MCY/15176415 </v>
      </c>
    </row>
    <row r="33" spans="1:12" ht="39.950000000000003" customHeight="1" x14ac:dyDescent="0.25">
      <c r="A33" s="6" t="s">
        <v>4158</v>
      </c>
      <c r="B33" s="7" t="s">
        <v>4159</v>
      </c>
      <c r="C33" s="8">
        <v>1</v>
      </c>
      <c r="D33" s="9">
        <v>26.99</v>
      </c>
      <c r="E33" s="8" t="s">
        <v>4160</v>
      </c>
      <c r="F33" s="7" t="s">
        <v>3484</v>
      </c>
      <c r="G33" s="10"/>
      <c r="H33" s="7" t="s">
        <v>3490</v>
      </c>
      <c r="I33" s="7" t="s">
        <v>3734</v>
      </c>
      <c r="J33" s="7" t="s">
        <v>3426</v>
      </c>
      <c r="K33" s="7"/>
      <c r="L33" s="11" t="str">
        <f>HYPERLINK("http://slimages.macys.com/is/image/MCY/8501242 ")</f>
        <v xml:space="preserve">http://slimages.macys.com/is/image/MCY/8501242 </v>
      </c>
    </row>
    <row r="34" spans="1:12" ht="39.950000000000003" customHeight="1" x14ac:dyDescent="0.25">
      <c r="A34" s="6" t="s">
        <v>4161</v>
      </c>
      <c r="B34" s="7" t="s">
        <v>4162</v>
      </c>
      <c r="C34" s="8">
        <v>1</v>
      </c>
      <c r="D34" s="9">
        <v>24.99</v>
      </c>
      <c r="E34" s="8" t="s">
        <v>4163</v>
      </c>
      <c r="F34" s="7"/>
      <c r="G34" s="10"/>
      <c r="H34" s="7" t="s">
        <v>3490</v>
      </c>
      <c r="I34" s="7" t="s">
        <v>3805</v>
      </c>
      <c r="J34" s="7" t="s">
        <v>3426</v>
      </c>
      <c r="K34" s="7"/>
      <c r="L34" s="11" t="str">
        <f>HYPERLINK("http://slimages.macys.com/is/image/MCY/11926790 ")</f>
        <v xml:space="preserve">http://slimages.macys.com/is/image/MCY/11926790 </v>
      </c>
    </row>
    <row r="35" spans="1:12" ht="39.950000000000003" customHeight="1" x14ac:dyDescent="0.25">
      <c r="A35" s="6" t="s">
        <v>4164</v>
      </c>
      <c r="B35" s="7" t="s">
        <v>4165</v>
      </c>
      <c r="C35" s="8">
        <v>2</v>
      </c>
      <c r="D35" s="9">
        <v>49.98</v>
      </c>
      <c r="E35" s="8" t="s">
        <v>4166</v>
      </c>
      <c r="F35" s="7" t="s">
        <v>4167</v>
      </c>
      <c r="G35" s="10" t="s">
        <v>3942</v>
      </c>
      <c r="H35" s="7" t="s">
        <v>3542</v>
      </c>
      <c r="I35" s="7" t="s">
        <v>3517</v>
      </c>
      <c r="J35" s="7" t="s">
        <v>3426</v>
      </c>
      <c r="K35" s="7" t="s">
        <v>4168</v>
      </c>
      <c r="L35" s="11" t="str">
        <f>HYPERLINK("http://slimages.macys.com/is/image/MCY/10523452 ")</f>
        <v xml:space="preserve">http://slimages.macys.com/is/image/MCY/10523452 </v>
      </c>
    </row>
    <row r="36" spans="1:12" ht="39.950000000000003" customHeight="1" x14ac:dyDescent="0.25">
      <c r="A36" s="6" t="s">
        <v>4169</v>
      </c>
      <c r="B36" s="7" t="s">
        <v>4170</v>
      </c>
      <c r="C36" s="8">
        <v>1</v>
      </c>
      <c r="D36" s="9">
        <v>24.99</v>
      </c>
      <c r="E36" s="8" t="s">
        <v>4171</v>
      </c>
      <c r="F36" s="7" t="s">
        <v>3438</v>
      </c>
      <c r="G36" s="10" t="s">
        <v>3942</v>
      </c>
      <c r="H36" s="7" t="s">
        <v>3542</v>
      </c>
      <c r="I36" s="7" t="s">
        <v>3517</v>
      </c>
      <c r="J36" s="7" t="s">
        <v>3426</v>
      </c>
      <c r="K36" s="7" t="s">
        <v>4168</v>
      </c>
      <c r="L36" s="11" t="str">
        <f>HYPERLINK("http://slimages.macys.com/is/image/MCY/10523452 ")</f>
        <v xml:space="preserve">http://slimages.macys.com/is/image/MCY/10523452 </v>
      </c>
    </row>
    <row r="37" spans="1:12" ht="39.950000000000003" customHeight="1" x14ac:dyDescent="0.25">
      <c r="A37" s="6" t="s">
        <v>4172</v>
      </c>
      <c r="B37" s="7" t="s">
        <v>4173</v>
      </c>
      <c r="C37" s="8">
        <v>1</v>
      </c>
      <c r="D37" s="9">
        <v>24.99</v>
      </c>
      <c r="E37" s="8" t="s">
        <v>4174</v>
      </c>
      <c r="F37" s="7" t="s">
        <v>3431</v>
      </c>
      <c r="G37" s="10" t="s">
        <v>3512</v>
      </c>
      <c r="H37" s="7" t="s">
        <v>3490</v>
      </c>
      <c r="I37" s="7" t="s">
        <v>4175</v>
      </c>
      <c r="J37" s="7" t="s">
        <v>3426</v>
      </c>
      <c r="K37" s="7" t="s">
        <v>3811</v>
      </c>
      <c r="L37" s="11" t="str">
        <f>HYPERLINK("http://slimages.macys.com/is/image/MCY/10320715 ")</f>
        <v xml:space="preserve">http://slimages.macys.com/is/image/MCY/10320715 </v>
      </c>
    </row>
    <row r="38" spans="1:12" ht="39.950000000000003" customHeight="1" x14ac:dyDescent="0.25">
      <c r="A38" s="6" t="s">
        <v>4176</v>
      </c>
      <c r="B38" s="7" t="s">
        <v>4177</v>
      </c>
      <c r="C38" s="8">
        <v>1</v>
      </c>
      <c r="D38" s="9">
        <v>24.99</v>
      </c>
      <c r="E38" s="8" t="s">
        <v>4178</v>
      </c>
      <c r="F38" s="7" t="s">
        <v>3610</v>
      </c>
      <c r="G38" s="10" t="s">
        <v>3547</v>
      </c>
      <c r="H38" s="7" t="s">
        <v>3525</v>
      </c>
      <c r="I38" s="7" t="s">
        <v>4179</v>
      </c>
      <c r="J38" s="7" t="s">
        <v>3564</v>
      </c>
      <c r="K38" s="7"/>
      <c r="L38" s="11" t="str">
        <f>HYPERLINK("http://slimages.macys.com/is/image/MCY/8575742 ")</f>
        <v xml:space="preserve">http://slimages.macys.com/is/image/MCY/8575742 </v>
      </c>
    </row>
    <row r="39" spans="1:12" ht="39.950000000000003" customHeight="1" x14ac:dyDescent="0.25">
      <c r="A39" s="6" t="s">
        <v>4180</v>
      </c>
      <c r="B39" s="7" t="s">
        <v>4181</v>
      </c>
      <c r="C39" s="8">
        <v>1</v>
      </c>
      <c r="D39" s="9">
        <v>78.11</v>
      </c>
      <c r="E39" s="8" t="s">
        <v>4182</v>
      </c>
      <c r="F39" s="7"/>
      <c r="G39" s="10"/>
      <c r="H39" s="7" t="s">
        <v>3583</v>
      </c>
      <c r="I39" s="7" t="s">
        <v>4183</v>
      </c>
      <c r="J39" s="7" t="s">
        <v>3426</v>
      </c>
      <c r="K39" s="7" t="s">
        <v>4184</v>
      </c>
      <c r="L39" s="11" t="str">
        <f>HYPERLINK("http://slimages.macys.com/is/image/MCY/15009867 ")</f>
        <v xml:space="preserve">http://slimages.macys.com/is/image/MCY/15009867 </v>
      </c>
    </row>
    <row r="40" spans="1:12" ht="39.950000000000003" customHeight="1" x14ac:dyDescent="0.25">
      <c r="A40" s="6" t="s">
        <v>4185</v>
      </c>
      <c r="B40" s="7" t="s">
        <v>4186</v>
      </c>
      <c r="C40" s="8">
        <v>2</v>
      </c>
      <c r="D40" s="9">
        <v>69.98</v>
      </c>
      <c r="E40" s="8" t="s">
        <v>4187</v>
      </c>
      <c r="F40" s="7" t="s">
        <v>3500</v>
      </c>
      <c r="G40" s="10"/>
      <c r="H40" s="7" t="s">
        <v>3452</v>
      </c>
      <c r="I40" s="7" t="s">
        <v>3453</v>
      </c>
      <c r="J40" s="7"/>
      <c r="K40" s="7"/>
      <c r="L40" s="11" t="str">
        <f>HYPERLINK("http://slimages.macys.com/is/image/MCY/17773190 ")</f>
        <v xml:space="preserve">http://slimages.macys.com/is/image/MCY/17773190 </v>
      </c>
    </row>
    <row r="41" spans="1:12" ht="39.950000000000003" customHeight="1" x14ac:dyDescent="0.25">
      <c r="A41" s="6" t="s">
        <v>4188</v>
      </c>
      <c r="B41" s="7" t="s">
        <v>4189</v>
      </c>
      <c r="C41" s="8">
        <v>1</v>
      </c>
      <c r="D41" s="9">
        <v>16.989999999999998</v>
      </c>
      <c r="E41" s="8" t="s">
        <v>4190</v>
      </c>
      <c r="F41" s="7" t="s">
        <v>3463</v>
      </c>
      <c r="G41" s="10"/>
      <c r="H41" s="7" t="s">
        <v>3542</v>
      </c>
      <c r="I41" s="7" t="s">
        <v>3829</v>
      </c>
      <c r="J41" s="7"/>
      <c r="K41" s="7"/>
      <c r="L41" s="11" t="str">
        <f>HYPERLINK("http://slimages.macys.com/is/image/MCY/16479956 ")</f>
        <v xml:space="preserve">http://slimages.macys.com/is/image/MCY/16479956 </v>
      </c>
    </row>
    <row r="42" spans="1:12" ht="39.950000000000003" customHeight="1" x14ac:dyDescent="0.25">
      <c r="A42" s="6" t="s">
        <v>4191</v>
      </c>
      <c r="B42" s="7" t="s">
        <v>4192</v>
      </c>
      <c r="C42" s="8">
        <v>1</v>
      </c>
      <c r="D42" s="9">
        <v>22.99</v>
      </c>
      <c r="E42" s="8" t="s">
        <v>4193</v>
      </c>
      <c r="F42" s="7" t="s">
        <v>3445</v>
      </c>
      <c r="G42" s="10"/>
      <c r="H42" s="7" t="s">
        <v>3559</v>
      </c>
      <c r="I42" s="7" t="s">
        <v>4194</v>
      </c>
      <c r="J42" s="7" t="s">
        <v>3426</v>
      </c>
      <c r="K42" s="7"/>
      <c r="L42" s="11" t="str">
        <f>HYPERLINK("http://slimages.macys.com/is/image/MCY/9803978 ")</f>
        <v xml:space="preserve">http://slimages.macys.com/is/image/MCY/9803978 </v>
      </c>
    </row>
    <row r="43" spans="1:12" ht="39.950000000000003" customHeight="1" x14ac:dyDescent="0.25">
      <c r="A43" s="6" t="s">
        <v>4195</v>
      </c>
      <c r="B43" s="7" t="s">
        <v>4196</v>
      </c>
      <c r="C43" s="8">
        <v>1</v>
      </c>
      <c r="D43" s="9">
        <v>78.11</v>
      </c>
      <c r="E43" s="8" t="s">
        <v>4197</v>
      </c>
      <c r="F43" s="7"/>
      <c r="G43" s="10"/>
      <c r="H43" s="7" t="s">
        <v>3452</v>
      </c>
      <c r="I43" s="7" t="s">
        <v>3453</v>
      </c>
      <c r="J43" s="7" t="s">
        <v>3426</v>
      </c>
      <c r="K43" s="7" t="s">
        <v>3556</v>
      </c>
      <c r="L43" s="11" t="str">
        <f>HYPERLINK("http://slimages.macys.com/is/image/MCY/15105812 ")</f>
        <v xml:space="preserve">http://slimages.macys.com/is/image/MCY/15105812 </v>
      </c>
    </row>
    <row r="44" spans="1:12" ht="39.950000000000003" customHeight="1" x14ac:dyDescent="0.25">
      <c r="A44" s="6" t="s">
        <v>4198</v>
      </c>
      <c r="B44" s="7" t="s">
        <v>4199</v>
      </c>
      <c r="C44" s="8">
        <v>1</v>
      </c>
      <c r="D44" s="9">
        <v>18.989999999999998</v>
      </c>
      <c r="E44" s="8" t="s">
        <v>4200</v>
      </c>
      <c r="F44" s="7" t="s">
        <v>3445</v>
      </c>
      <c r="G44" s="10"/>
      <c r="H44" s="7" t="s">
        <v>3542</v>
      </c>
      <c r="I44" s="7" t="s">
        <v>3829</v>
      </c>
      <c r="J44" s="7" t="s">
        <v>3426</v>
      </c>
      <c r="K44" s="7" t="s">
        <v>3518</v>
      </c>
      <c r="L44" s="11" t="str">
        <f>HYPERLINK("http://slimages.macys.com/is/image/MCY/3153811 ")</f>
        <v xml:space="preserve">http://slimages.macys.com/is/image/MCY/3153811 </v>
      </c>
    </row>
    <row r="45" spans="1:12" ht="39.950000000000003" customHeight="1" x14ac:dyDescent="0.25">
      <c r="A45" s="6" t="s">
        <v>4201</v>
      </c>
      <c r="B45" s="7" t="s">
        <v>4202</v>
      </c>
      <c r="C45" s="8">
        <v>1</v>
      </c>
      <c r="D45" s="9">
        <v>24.99</v>
      </c>
      <c r="E45" s="8">
        <v>6589523</v>
      </c>
      <c r="F45" s="7" t="s">
        <v>4015</v>
      </c>
      <c r="G45" s="10" t="s">
        <v>3845</v>
      </c>
      <c r="H45" s="7" t="s">
        <v>3490</v>
      </c>
      <c r="I45" s="7" t="s">
        <v>3846</v>
      </c>
      <c r="J45" s="7" t="s">
        <v>3426</v>
      </c>
      <c r="K45" s="7" t="s">
        <v>3518</v>
      </c>
      <c r="L45" s="11" t="str">
        <f>HYPERLINK("http://slimages.macys.com/is/image/MCY/15509771 ")</f>
        <v xml:space="preserve">http://slimages.macys.com/is/image/MCY/15509771 </v>
      </c>
    </row>
    <row r="46" spans="1:12" ht="39.950000000000003" customHeight="1" x14ac:dyDescent="0.25">
      <c r="A46" s="6" t="s">
        <v>4203</v>
      </c>
      <c r="B46" s="7" t="s">
        <v>4204</v>
      </c>
      <c r="C46" s="8">
        <v>1</v>
      </c>
      <c r="D46" s="9">
        <v>8.99</v>
      </c>
      <c r="E46" s="8">
        <v>1984</v>
      </c>
      <c r="F46" s="7" t="s">
        <v>3477</v>
      </c>
      <c r="G46" s="10" t="s">
        <v>4205</v>
      </c>
      <c r="H46" s="7" t="s">
        <v>3583</v>
      </c>
      <c r="I46" s="7" t="s">
        <v>4183</v>
      </c>
      <c r="J46" s="7" t="s">
        <v>3564</v>
      </c>
      <c r="K46" s="7" t="s">
        <v>4206</v>
      </c>
      <c r="L46" s="11" t="str">
        <f>HYPERLINK("http://slimages.macys.com/is/image/MCY/983590 ")</f>
        <v xml:space="preserve">http://slimages.macys.com/is/image/MCY/983590 </v>
      </c>
    </row>
    <row r="47" spans="1:12" ht="39.950000000000003" customHeight="1" x14ac:dyDescent="0.25">
      <c r="A47" s="6" t="s">
        <v>4207</v>
      </c>
      <c r="B47" s="7" t="s">
        <v>4208</v>
      </c>
      <c r="C47" s="8">
        <v>1</v>
      </c>
      <c r="D47" s="9">
        <v>78.11</v>
      </c>
      <c r="E47" s="8" t="s">
        <v>4209</v>
      </c>
      <c r="F47" s="7"/>
      <c r="G47" s="10"/>
      <c r="H47" s="7" t="s">
        <v>3635</v>
      </c>
      <c r="I47" s="7" t="s">
        <v>4210</v>
      </c>
      <c r="J47" s="7"/>
      <c r="K47" s="7"/>
      <c r="L47" s="11" t="str">
        <f>HYPERLINK("http://slimages.macys.com/is/image/MCY/16783459 ")</f>
        <v xml:space="preserve">http://slimages.macys.com/is/image/MCY/16783459 </v>
      </c>
    </row>
    <row r="48" spans="1:12" ht="39.950000000000003" customHeight="1" x14ac:dyDescent="0.25">
      <c r="A48" s="6" t="s">
        <v>4211</v>
      </c>
      <c r="B48" s="7" t="s">
        <v>4212</v>
      </c>
      <c r="C48" s="8">
        <v>4</v>
      </c>
      <c r="D48" s="9">
        <v>31.96</v>
      </c>
      <c r="E48" s="8">
        <v>7328</v>
      </c>
      <c r="F48" s="7" t="s">
        <v>3445</v>
      </c>
      <c r="G48" s="10"/>
      <c r="H48" s="7" t="s">
        <v>3559</v>
      </c>
      <c r="I48" s="7" t="s">
        <v>4213</v>
      </c>
      <c r="J48" s="7"/>
      <c r="K48" s="7"/>
      <c r="L48" s="11" t="str">
        <f>HYPERLINK("http://slimages.macys.com/is/image/MCY/17673679 ")</f>
        <v xml:space="preserve">http://slimages.macys.com/is/image/MCY/17673679 </v>
      </c>
    </row>
    <row r="49" spans="1:12" ht="39.950000000000003" customHeight="1" x14ac:dyDescent="0.25">
      <c r="A49" s="6" t="s">
        <v>4214</v>
      </c>
      <c r="B49" s="7" t="s">
        <v>4215</v>
      </c>
      <c r="C49" s="8">
        <v>1</v>
      </c>
      <c r="D49" s="9">
        <v>12.99</v>
      </c>
      <c r="E49" s="8">
        <v>1007155600</v>
      </c>
      <c r="F49" s="7" t="s">
        <v>3496</v>
      </c>
      <c r="G49" s="10" t="s">
        <v>4031</v>
      </c>
      <c r="H49" s="7" t="s">
        <v>3654</v>
      </c>
      <c r="I49" s="7" t="s">
        <v>3840</v>
      </c>
      <c r="J49" s="7" t="s">
        <v>3426</v>
      </c>
      <c r="K49" s="7" t="s">
        <v>4216</v>
      </c>
      <c r="L49" s="11" t="str">
        <f>HYPERLINK("http://slimages.macys.com/is/image/MCY/10230867 ")</f>
        <v xml:space="preserve">http://slimages.macys.com/is/image/MCY/10230867 </v>
      </c>
    </row>
    <row r="50" spans="1:12" ht="39.950000000000003" customHeight="1" x14ac:dyDescent="0.25">
      <c r="A50" s="6" t="s">
        <v>4217</v>
      </c>
      <c r="B50" s="7" t="s">
        <v>4218</v>
      </c>
      <c r="C50" s="8">
        <v>1</v>
      </c>
      <c r="D50" s="9">
        <v>209.99</v>
      </c>
      <c r="E50" s="8" t="s">
        <v>4219</v>
      </c>
      <c r="F50" s="7" t="s">
        <v>3445</v>
      </c>
      <c r="G50" s="10"/>
      <c r="H50" s="7" t="s">
        <v>3559</v>
      </c>
      <c r="I50" s="7" t="s">
        <v>3777</v>
      </c>
      <c r="J50" s="7"/>
      <c r="K50" s="7"/>
      <c r="L50" s="11"/>
    </row>
    <row r="51" spans="1:12" ht="39.950000000000003" customHeight="1" x14ac:dyDescent="0.25">
      <c r="A51" s="6" t="s">
        <v>4220</v>
      </c>
      <c r="B51" s="7" t="s">
        <v>4221</v>
      </c>
      <c r="C51" s="8">
        <v>1</v>
      </c>
      <c r="D51" s="9">
        <v>127.99</v>
      </c>
      <c r="E51" s="8" t="s">
        <v>4222</v>
      </c>
      <c r="F51" s="7" t="s">
        <v>3463</v>
      </c>
      <c r="G51" s="10"/>
      <c r="H51" s="7" t="s">
        <v>3478</v>
      </c>
      <c r="I51" s="7" t="s">
        <v>4223</v>
      </c>
      <c r="J51" s="7"/>
      <c r="K51" s="7"/>
      <c r="L51" s="11"/>
    </row>
    <row r="52" spans="1:12" ht="39.950000000000003" customHeight="1" x14ac:dyDescent="0.25">
      <c r="A52" s="6" t="s">
        <v>4224</v>
      </c>
      <c r="B52" s="7" t="s">
        <v>4225</v>
      </c>
      <c r="C52" s="8">
        <v>1</v>
      </c>
      <c r="D52" s="9">
        <v>74.989999999999995</v>
      </c>
      <c r="E52" s="8" t="s">
        <v>4226</v>
      </c>
      <c r="F52" s="7" t="s">
        <v>3541</v>
      </c>
      <c r="G52" s="10"/>
      <c r="H52" s="7" t="s">
        <v>3490</v>
      </c>
      <c r="I52" s="7" t="s">
        <v>3553</v>
      </c>
      <c r="J52" s="7"/>
      <c r="K52" s="7"/>
      <c r="L52" s="11"/>
    </row>
    <row r="53" spans="1:12" ht="39.950000000000003" customHeight="1" x14ac:dyDescent="0.25">
      <c r="A53" s="6" t="s">
        <v>3667</v>
      </c>
      <c r="B53" s="7" t="s">
        <v>3668</v>
      </c>
      <c r="C53" s="8">
        <v>11</v>
      </c>
      <c r="D53" s="9">
        <v>440</v>
      </c>
      <c r="E53" s="8"/>
      <c r="F53" s="7" t="s">
        <v>3610</v>
      </c>
      <c r="G53" s="10" t="s">
        <v>3489</v>
      </c>
      <c r="H53" s="7" t="s">
        <v>3669</v>
      </c>
      <c r="I53" s="7" t="s">
        <v>3670</v>
      </c>
      <c r="J53" s="7"/>
      <c r="K53" s="7"/>
      <c r="L53" s="11"/>
    </row>
    <row r="54" spans="1:12" ht="39.950000000000003" customHeight="1" x14ac:dyDescent="0.25">
      <c r="A54" s="6" t="s">
        <v>4227</v>
      </c>
      <c r="B54" s="7" t="s">
        <v>4228</v>
      </c>
      <c r="C54" s="8">
        <v>1</v>
      </c>
      <c r="D54" s="9">
        <v>52.99</v>
      </c>
      <c r="E54" s="8" t="s">
        <v>4229</v>
      </c>
      <c r="F54" s="7" t="s">
        <v>3431</v>
      </c>
      <c r="G54" s="10"/>
      <c r="H54" s="7" t="s">
        <v>3478</v>
      </c>
      <c r="I54" s="7" t="s">
        <v>4230</v>
      </c>
      <c r="J54" s="7"/>
      <c r="K54" s="7"/>
      <c r="L54" s="11"/>
    </row>
    <row r="55" spans="1:12" ht="39.950000000000003" customHeight="1" x14ac:dyDescent="0.25">
      <c r="A55" s="6" t="s">
        <v>4231</v>
      </c>
      <c r="B55" s="7" t="s">
        <v>4232</v>
      </c>
      <c r="C55" s="8">
        <v>1</v>
      </c>
      <c r="D55" s="9">
        <v>29.99</v>
      </c>
      <c r="E55" s="8" t="s">
        <v>4233</v>
      </c>
      <c r="F55" s="7" t="s">
        <v>3431</v>
      </c>
      <c r="G55" s="10"/>
      <c r="H55" s="7" t="s">
        <v>3542</v>
      </c>
      <c r="I55" s="7" t="s">
        <v>4234</v>
      </c>
      <c r="J55" s="7"/>
      <c r="K55" s="7"/>
      <c r="L55" s="11"/>
    </row>
    <row r="56" spans="1:12" ht="39.950000000000003" customHeight="1" x14ac:dyDescent="0.25">
      <c r="A56" s="6" t="s">
        <v>4235</v>
      </c>
      <c r="B56" s="7" t="s">
        <v>4236</v>
      </c>
      <c r="C56" s="8">
        <v>1</v>
      </c>
      <c r="D56" s="9">
        <v>39.99</v>
      </c>
      <c r="E56" s="8" t="s">
        <v>4237</v>
      </c>
      <c r="F56" s="7" t="s">
        <v>3445</v>
      </c>
      <c r="G56" s="10"/>
      <c r="H56" s="7" t="s">
        <v>3583</v>
      </c>
      <c r="I56" s="7" t="s">
        <v>4113</v>
      </c>
      <c r="J56" s="7"/>
      <c r="K56" s="7"/>
      <c r="L56" s="11"/>
    </row>
    <row r="57" spans="1:12" ht="39.950000000000003" customHeight="1" x14ac:dyDescent="0.25">
      <c r="A57" s="6" t="s">
        <v>4238</v>
      </c>
      <c r="B57" s="7" t="s">
        <v>4239</v>
      </c>
      <c r="C57" s="8">
        <v>1</v>
      </c>
      <c r="D57" s="9">
        <v>9.99</v>
      </c>
      <c r="E57" s="8" t="s">
        <v>4240</v>
      </c>
      <c r="F57" s="7" t="s">
        <v>3445</v>
      </c>
      <c r="G57" s="10"/>
      <c r="H57" s="7" t="s">
        <v>3583</v>
      </c>
      <c r="I57" s="7" t="s">
        <v>4183</v>
      </c>
      <c r="J57" s="7"/>
      <c r="K57" s="7"/>
      <c r="L57" s="11"/>
    </row>
  </sheetData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4241</v>
      </c>
      <c r="B2" s="7" t="s">
        <v>4242</v>
      </c>
      <c r="C2" s="8">
        <v>1</v>
      </c>
      <c r="D2" s="9">
        <v>289.99</v>
      </c>
      <c r="E2" s="8">
        <v>61223</v>
      </c>
      <c r="F2" s="7" t="s">
        <v>3445</v>
      </c>
      <c r="G2" s="10"/>
      <c r="H2" s="7" t="s">
        <v>3559</v>
      </c>
      <c r="I2" s="7" t="s">
        <v>3560</v>
      </c>
      <c r="J2" s="7" t="s">
        <v>3426</v>
      </c>
      <c r="K2" s="7" t="s">
        <v>4243</v>
      </c>
      <c r="L2" s="11" t="str">
        <f>HYPERLINK("http://slimages.macys.com/is/image/MCY/15866479 ")</f>
        <v xml:space="preserve">http://slimages.macys.com/is/image/MCY/15866479 </v>
      </c>
    </row>
    <row r="3" spans="1:12" ht="39.950000000000003" customHeight="1" x14ac:dyDescent="0.25">
      <c r="A3" s="6" t="s">
        <v>4244</v>
      </c>
      <c r="B3" s="7" t="s">
        <v>4245</v>
      </c>
      <c r="C3" s="8">
        <v>1</v>
      </c>
      <c r="D3" s="9">
        <v>289.99</v>
      </c>
      <c r="E3" s="8" t="s">
        <v>4246</v>
      </c>
      <c r="F3" s="7" t="s">
        <v>3438</v>
      </c>
      <c r="G3" s="10" t="s">
        <v>3439</v>
      </c>
      <c r="H3" s="7" t="s">
        <v>3440</v>
      </c>
      <c r="I3" s="7" t="s">
        <v>3683</v>
      </c>
      <c r="J3" s="7" t="s">
        <v>3426</v>
      </c>
      <c r="K3" s="7"/>
      <c r="L3" s="11" t="str">
        <f>HYPERLINK("http://slimages.macys.com/is/image/MCY/13891271 ")</f>
        <v xml:space="preserve">http://slimages.macys.com/is/image/MCY/13891271 </v>
      </c>
    </row>
    <row r="4" spans="1:12" ht="39.950000000000003" customHeight="1" x14ac:dyDescent="0.25">
      <c r="A4" s="6" t="s">
        <v>4247</v>
      </c>
      <c r="B4" s="7" t="s">
        <v>4248</v>
      </c>
      <c r="C4" s="8">
        <v>1</v>
      </c>
      <c r="D4" s="9">
        <v>149.99</v>
      </c>
      <c r="E4" s="8" t="s">
        <v>4249</v>
      </c>
      <c r="F4" s="7" t="s">
        <v>3445</v>
      </c>
      <c r="G4" s="10"/>
      <c r="H4" s="7" t="s">
        <v>3695</v>
      </c>
      <c r="I4" s="7" t="s">
        <v>4250</v>
      </c>
      <c r="J4" s="7" t="s">
        <v>3426</v>
      </c>
      <c r="K4" s="7" t="s">
        <v>4251</v>
      </c>
      <c r="L4" s="11" t="str">
        <f>HYPERLINK("http://slimages.macys.com/is/image/MCY/12672912 ")</f>
        <v xml:space="preserve">http://slimages.macys.com/is/image/MCY/12672912 </v>
      </c>
    </row>
    <row r="5" spans="1:12" ht="39.950000000000003" customHeight="1" x14ac:dyDescent="0.25">
      <c r="A5" s="6" t="s">
        <v>4252</v>
      </c>
      <c r="B5" s="7" t="s">
        <v>4253</v>
      </c>
      <c r="C5" s="8">
        <v>1</v>
      </c>
      <c r="D5" s="9">
        <v>179.99</v>
      </c>
      <c r="E5" s="8" t="s">
        <v>4254</v>
      </c>
      <c r="F5" s="7" t="s">
        <v>3541</v>
      </c>
      <c r="G5" s="10"/>
      <c r="H5" s="7" t="s">
        <v>3478</v>
      </c>
      <c r="I5" s="7" t="s">
        <v>3741</v>
      </c>
      <c r="J5" s="7"/>
      <c r="K5" s="7"/>
      <c r="L5" s="11" t="str">
        <f>HYPERLINK("http://slimages.macys.com/is/image/MCY/17857771 ")</f>
        <v xml:space="preserve">http://slimages.macys.com/is/image/MCY/17857771 </v>
      </c>
    </row>
    <row r="6" spans="1:12" ht="39.950000000000003" customHeight="1" x14ac:dyDescent="0.25">
      <c r="A6" s="6" t="s">
        <v>4255</v>
      </c>
      <c r="B6" s="7" t="s">
        <v>4256</v>
      </c>
      <c r="C6" s="8">
        <v>1</v>
      </c>
      <c r="D6" s="9">
        <v>151.99</v>
      </c>
      <c r="E6" s="8" t="s">
        <v>4257</v>
      </c>
      <c r="F6" s="7" t="s">
        <v>3535</v>
      </c>
      <c r="G6" s="10" t="s">
        <v>4059</v>
      </c>
      <c r="H6" s="7" t="s">
        <v>3478</v>
      </c>
      <c r="I6" s="7" t="s">
        <v>4060</v>
      </c>
      <c r="J6" s="7" t="s">
        <v>3426</v>
      </c>
      <c r="K6" s="7" t="s">
        <v>3518</v>
      </c>
      <c r="L6" s="11" t="str">
        <f>HYPERLINK("http://slimages.macys.com/is/image/MCY/9999253 ")</f>
        <v xml:space="preserve">http://slimages.macys.com/is/image/MCY/9999253 </v>
      </c>
    </row>
    <row r="7" spans="1:12" ht="39.950000000000003" customHeight="1" x14ac:dyDescent="0.25">
      <c r="A7" s="6" t="s">
        <v>4258</v>
      </c>
      <c r="B7" s="7" t="s">
        <v>4259</v>
      </c>
      <c r="C7" s="8">
        <v>1</v>
      </c>
      <c r="D7" s="9">
        <v>179.99</v>
      </c>
      <c r="E7" s="8" t="s">
        <v>4260</v>
      </c>
      <c r="F7" s="7" t="s">
        <v>3755</v>
      </c>
      <c r="G7" s="10"/>
      <c r="H7" s="7" t="s">
        <v>3452</v>
      </c>
      <c r="I7" s="7" t="s">
        <v>3453</v>
      </c>
      <c r="J7" s="7"/>
      <c r="K7" s="7"/>
      <c r="L7" s="11" t="str">
        <f>HYPERLINK("http://slimages.macys.com/is/image/MCY/17773240 ")</f>
        <v xml:space="preserve">http://slimages.macys.com/is/image/MCY/17773240 </v>
      </c>
    </row>
    <row r="8" spans="1:12" ht="39.950000000000003" customHeight="1" x14ac:dyDescent="0.25">
      <c r="A8" s="6" t="s">
        <v>4261</v>
      </c>
      <c r="B8" s="7" t="s">
        <v>4262</v>
      </c>
      <c r="C8" s="8">
        <v>1</v>
      </c>
      <c r="D8" s="9">
        <v>149.99</v>
      </c>
      <c r="E8" s="8" t="s">
        <v>4263</v>
      </c>
      <c r="F8" s="7" t="s">
        <v>3445</v>
      </c>
      <c r="G8" s="10"/>
      <c r="H8" s="7" t="s">
        <v>3676</v>
      </c>
      <c r="I8" s="7" t="s">
        <v>3548</v>
      </c>
      <c r="J8" s="7" t="s">
        <v>3564</v>
      </c>
      <c r="K8" s="7" t="s">
        <v>3879</v>
      </c>
      <c r="L8" s="11" t="str">
        <f>HYPERLINK("http://slimages.macys.com/is/image/MCY/3962569 ")</f>
        <v xml:space="preserve">http://slimages.macys.com/is/image/MCY/3962569 </v>
      </c>
    </row>
    <row r="9" spans="1:12" ht="39.950000000000003" customHeight="1" x14ac:dyDescent="0.25">
      <c r="A9" s="6" t="s">
        <v>4264</v>
      </c>
      <c r="B9" s="7" t="s">
        <v>4265</v>
      </c>
      <c r="C9" s="8">
        <v>1</v>
      </c>
      <c r="D9" s="9">
        <v>179.99</v>
      </c>
      <c r="E9" s="8" t="s">
        <v>4266</v>
      </c>
      <c r="F9" s="7" t="s">
        <v>4047</v>
      </c>
      <c r="G9" s="10"/>
      <c r="H9" s="7" t="s">
        <v>3440</v>
      </c>
      <c r="I9" s="7" t="s">
        <v>3441</v>
      </c>
      <c r="J9" s="7" t="s">
        <v>3426</v>
      </c>
      <c r="K9" s="7" t="s">
        <v>3556</v>
      </c>
      <c r="L9" s="11" t="str">
        <f>HYPERLINK("http://slimages.macys.com/is/image/MCY/3137940 ")</f>
        <v xml:space="preserve">http://slimages.macys.com/is/image/MCY/3137940 </v>
      </c>
    </row>
    <row r="10" spans="1:12" ht="39.950000000000003" customHeight="1" x14ac:dyDescent="0.25">
      <c r="A10" s="6" t="s">
        <v>4267</v>
      </c>
      <c r="B10" s="7" t="s">
        <v>4268</v>
      </c>
      <c r="C10" s="8">
        <v>1</v>
      </c>
      <c r="D10" s="9">
        <v>199.99</v>
      </c>
      <c r="E10" s="8" t="s">
        <v>4269</v>
      </c>
      <c r="F10" s="7" t="s">
        <v>3504</v>
      </c>
      <c r="G10" s="10"/>
      <c r="H10" s="7" t="s">
        <v>3440</v>
      </c>
      <c r="I10" s="7" t="s">
        <v>3446</v>
      </c>
      <c r="J10" s="7"/>
      <c r="K10" s="7"/>
      <c r="L10" s="11" t="str">
        <f>HYPERLINK("http://slimages.macys.com/is/image/MCY/17531741 ")</f>
        <v xml:space="preserve">http://slimages.macys.com/is/image/MCY/17531741 </v>
      </c>
    </row>
    <row r="11" spans="1:12" ht="39.950000000000003" customHeight="1" x14ac:dyDescent="0.25">
      <c r="A11" s="6" t="s">
        <v>4270</v>
      </c>
      <c r="B11" s="7" t="s">
        <v>4271</v>
      </c>
      <c r="C11" s="8">
        <v>1</v>
      </c>
      <c r="D11" s="9">
        <v>149.99</v>
      </c>
      <c r="E11" s="8" t="s">
        <v>4272</v>
      </c>
      <c r="F11" s="7" t="s">
        <v>3484</v>
      </c>
      <c r="G11" s="10"/>
      <c r="H11" s="7" t="s">
        <v>3467</v>
      </c>
      <c r="I11" s="7" t="s">
        <v>3473</v>
      </c>
      <c r="J11" s="7" t="s">
        <v>3426</v>
      </c>
      <c r="K11" s="7" t="s">
        <v>3725</v>
      </c>
      <c r="L11" s="11" t="str">
        <f>HYPERLINK("http://slimages.macys.com/is/image/MCY/12738803 ")</f>
        <v xml:space="preserve">http://slimages.macys.com/is/image/MCY/12738803 </v>
      </c>
    </row>
    <row r="12" spans="1:12" ht="39.950000000000003" customHeight="1" x14ac:dyDescent="0.25">
      <c r="A12" s="6" t="s">
        <v>4273</v>
      </c>
      <c r="B12" s="7" t="s">
        <v>4274</v>
      </c>
      <c r="C12" s="8">
        <v>1</v>
      </c>
      <c r="D12" s="9">
        <v>144.99</v>
      </c>
      <c r="E12" s="8" t="s">
        <v>4275</v>
      </c>
      <c r="F12" s="7" t="s">
        <v>3445</v>
      </c>
      <c r="G12" s="10" t="s">
        <v>4276</v>
      </c>
      <c r="H12" s="7" t="s">
        <v>3559</v>
      </c>
      <c r="I12" s="7" t="s">
        <v>4277</v>
      </c>
      <c r="J12" s="7" t="s">
        <v>3426</v>
      </c>
      <c r="K12" s="7" t="s">
        <v>3518</v>
      </c>
      <c r="L12" s="11" t="str">
        <f>HYPERLINK("http://slimages.macys.com/is/image/MCY/2155717 ")</f>
        <v xml:space="preserve">http://slimages.macys.com/is/image/MCY/2155717 </v>
      </c>
    </row>
    <row r="13" spans="1:12" ht="39.950000000000003" customHeight="1" x14ac:dyDescent="0.25">
      <c r="A13" s="6" t="s">
        <v>4278</v>
      </c>
      <c r="B13" s="7" t="s">
        <v>4279</v>
      </c>
      <c r="C13" s="8">
        <v>1</v>
      </c>
      <c r="D13" s="9">
        <v>131.99</v>
      </c>
      <c r="E13" s="8" t="s">
        <v>4280</v>
      </c>
      <c r="F13" s="7"/>
      <c r="G13" s="10"/>
      <c r="H13" s="7" t="s">
        <v>3478</v>
      </c>
      <c r="I13" s="7" t="s">
        <v>4281</v>
      </c>
      <c r="J13" s="7" t="s">
        <v>3426</v>
      </c>
      <c r="K13" s="7" t="s">
        <v>3811</v>
      </c>
      <c r="L13" s="11" t="str">
        <f>HYPERLINK("http://slimages.macys.com/is/image/MCY/14585927 ")</f>
        <v xml:space="preserve">http://slimages.macys.com/is/image/MCY/14585927 </v>
      </c>
    </row>
    <row r="14" spans="1:12" ht="39.950000000000003" customHeight="1" x14ac:dyDescent="0.25">
      <c r="A14" s="6" t="s">
        <v>3909</v>
      </c>
      <c r="B14" s="7" t="s">
        <v>3910</v>
      </c>
      <c r="C14" s="8">
        <v>1</v>
      </c>
      <c r="D14" s="9">
        <v>149.99</v>
      </c>
      <c r="E14" s="8" t="s">
        <v>3911</v>
      </c>
      <c r="F14" s="7" t="s">
        <v>3431</v>
      </c>
      <c r="G14" s="10"/>
      <c r="H14" s="7" t="s">
        <v>3572</v>
      </c>
      <c r="I14" s="7" t="s">
        <v>3897</v>
      </c>
      <c r="J14" s="7"/>
      <c r="K14" s="7"/>
      <c r="L14" s="11" t="str">
        <f>HYPERLINK("http://slimages.macys.com/is/image/MCY/16792609 ")</f>
        <v xml:space="preserve">http://slimages.macys.com/is/image/MCY/16792609 </v>
      </c>
    </row>
    <row r="15" spans="1:12" ht="39.950000000000003" customHeight="1" x14ac:dyDescent="0.25">
      <c r="A15" s="6" t="s">
        <v>4282</v>
      </c>
      <c r="B15" s="7" t="s">
        <v>4283</v>
      </c>
      <c r="C15" s="8">
        <v>1</v>
      </c>
      <c r="D15" s="9">
        <v>94.99</v>
      </c>
      <c r="E15" s="8" t="s">
        <v>4284</v>
      </c>
      <c r="F15" s="7" t="s">
        <v>3674</v>
      </c>
      <c r="G15" s="10" t="s">
        <v>3439</v>
      </c>
      <c r="H15" s="7" t="s">
        <v>3478</v>
      </c>
      <c r="I15" s="7" t="s">
        <v>4113</v>
      </c>
      <c r="J15" s="7" t="s">
        <v>3426</v>
      </c>
      <c r="K15" s="7" t="s">
        <v>3518</v>
      </c>
      <c r="L15" s="11" t="str">
        <f>HYPERLINK("http://slimages.macys.com/is/image/MCY/10286336 ")</f>
        <v xml:space="preserve">http://slimages.macys.com/is/image/MCY/10286336 </v>
      </c>
    </row>
    <row r="16" spans="1:12" ht="39.950000000000003" customHeight="1" x14ac:dyDescent="0.25">
      <c r="A16" s="6" t="s">
        <v>4285</v>
      </c>
      <c r="B16" s="7" t="s">
        <v>4286</v>
      </c>
      <c r="C16" s="8">
        <v>1</v>
      </c>
      <c r="D16" s="9">
        <v>88.99</v>
      </c>
      <c r="E16" s="8" t="s">
        <v>4287</v>
      </c>
      <c r="F16" s="7" t="s">
        <v>3463</v>
      </c>
      <c r="G16" s="10"/>
      <c r="H16" s="7" t="s">
        <v>3478</v>
      </c>
      <c r="I16" s="7" t="s">
        <v>3815</v>
      </c>
      <c r="J16" s="7" t="s">
        <v>3426</v>
      </c>
      <c r="K16" s="7" t="s">
        <v>3518</v>
      </c>
      <c r="L16" s="11" t="str">
        <f>HYPERLINK("http://slimages.macys.com/is/image/MCY/12302415 ")</f>
        <v xml:space="preserve">http://slimages.macys.com/is/image/MCY/12302415 </v>
      </c>
    </row>
    <row r="17" spans="1:12" ht="39.950000000000003" customHeight="1" x14ac:dyDescent="0.25">
      <c r="A17" s="6" t="s">
        <v>4288</v>
      </c>
      <c r="B17" s="7" t="s">
        <v>4289</v>
      </c>
      <c r="C17" s="8">
        <v>1</v>
      </c>
      <c r="D17" s="9">
        <v>59.99</v>
      </c>
      <c r="E17" s="8" t="s">
        <v>4290</v>
      </c>
      <c r="F17" s="7" t="s">
        <v>3445</v>
      </c>
      <c r="G17" s="10"/>
      <c r="H17" s="7" t="s">
        <v>3542</v>
      </c>
      <c r="I17" s="7" t="s">
        <v>4234</v>
      </c>
      <c r="J17" s="7" t="s">
        <v>3426</v>
      </c>
      <c r="K17" s="7" t="s">
        <v>3447</v>
      </c>
      <c r="L17" s="11" t="str">
        <f>HYPERLINK("http://slimages.macys.com/is/image/MCY/13036438 ")</f>
        <v xml:space="preserve">http://slimages.macys.com/is/image/MCY/13036438 </v>
      </c>
    </row>
    <row r="18" spans="1:12" ht="39.950000000000003" customHeight="1" x14ac:dyDescent="0.25">
      <c r="A18" s="6" t="s">
        <v>4291</v>
      </c>
      <c r="B18" s="7" t="s">
        <v>4292</v>
      </c>
      <c r="C18" s="8">
        <v>1</v>
      </c>
      <c r="D18" s="9">
        <v>79.989999999999995</v>
      </c>
      <c r="E18" s="8">
        <v>32311</v>
      </c>
      <c r="F18" s="7" t="s">
        <v>3445</v>
      </c>
      <c r="G18" s="10"/>
      <c r="H18" s="7" t="s">
        <v>3559</v>
      </c>
      <c r="I18" s="7" t="s">
        <v>3560</v>
      </c>
      <c r="J18" s="7"/>
      <c r="K18" s="7"/>
      <c r="L18" s="11" t="str">
        <f>HYPERLINK("http://slimages.macys.com/is/image/MCY/16708744 ")</f>
        <v xml:space="preserve">http://slimages.macys.com/is/image/MCY/16708744 </v>
      </c>
    </row>
    <row r="19" spans="1:12" ht="39.950000000000003" customHeight="1" x14ac:dyDescent="0.25">
      <c r="A19" s="6" t="s">
        <v>4293</v>
      </c>
      <c r="B19" s="7" t="s">
        <v>4294</v>
      </c>
      <c r="C19" s="8">
        <v>1</v>
      </c>
      <c r="D19" s="9">
        <v>55.99</v>
      </c>
      <c r="E19" s="8" t="s">
        <v>4295</v>
      </c>
      <c r="F19" s="7" t="s">
        <v>3938</v>
      </c>
      <c r="G19" s="10"/>
      <c r="H19" s="7" t="s">
        <v>3635</v>
      </c>
      <c r="I19" s="7" t="s">
        <v>4296</v>
      </c>
      <c r="J19" s="7"/>
      <c r="K19" s="7"/>
      <c r="L19" s="11" t="str">
        <f>HYPERLINK("http://slimages.macys.com/is/image/MCY/17788053 ")</f>
        <v xml:space="preserve">http://slimages.macys.com/is/image/MCY/17788053 </v>
      </c>
    </row>
    <row r="20" spans="1:12" ht="39.950000000000003" customHeight="1" x14ac:dyDescent="0.25">
      <c r="A20" s="6" t="s">
        <v>4297</v>
      </c>
      <c r="B20" s="7" t="s">
        <v>4298</v>
      </c>
      <c r="C20" s="8">
        <v>1</v>
      </c>
      <c r="D20" s="9">
        <v>47.99</v>
      </c>
      <c r="E20" s="8">
        <v>769924454190</v>
      </c>
      <c r="F20" s="7" t="s">
        <v>3445</v>
      </c>
      <c r="G20" s="10"/>
      <c r="H20" s="7" t="s">
        <v>3542</v>
      </c>
      <c r="I20" s="7" t="s">
        <v>4299</v>
      </c>
      <c r="J20" s="7" t="s">
        <v>3426</v>
      </c>
      <c r="K20" s="7" t="s">
        <v>4300</v>
      </c>
      <c r="L20" s="11" t="str">
        <f>HYPERLINK("http://slimages.macys.com/is/image/MCY/12699863 ")</f>
        <v xml:space="preserve">http://slimages.macys.com/is/image/MCY/12699863 </v>
      </c>
    </row>
    <row r="21" spans="1:12" ht="39.950000000000003" customHeight="1" x14ac:dyDescent="0.25">
      <c r="A21" s="6" t="s">
        <v>4301</v>
      </c>
      <c r="B21" s="7" t="s">
        <v>4302</v>
      </c>
      <c r="C21" s="8">
        <v>1</v>
      </c>
      <c r="D21" s="9">
        <v>69.989999999999995</v>
      </c>
      <c r="E21" s="8" t="s">
        <v>4303</v>
      </c>
      <c r="F21" s="7" t="s">
        <v>4304</v>
      </c>
      <c r="G21" s="10"/>
      <c r="H21" s="7" t="s">
        <v>3452</v>
      </c>
      <c r="I21" s="7" t="s">
        <v>3834</v>
      </c>
      <c r="J21" s="7" t="s">
        <v>3426</v>
      </c>
      <c r="K21" s="7" t="s">
        <v>3556</v>
      </c>
      <c r="L21" s="11" t="str">
        <f>HYPERLINK("http://slimages.macys.com/is/image/MCY/9940182 ")</f>
        <v xml:space="preserve">http://slimages.macys.com/is/image/MCY/9940182 </v>
      </c>
    </row>
    <row r="22" spans="1:12" ht="39.950000000000003" customHeight="1" x14ac:dyDescent="0.25">
      <c r="A22" s="6" t="s">
        <v>4305</v>
      </c>
      <c r="B22" s="7" t="s">
        <v>4306</v>
      </c>
      <c r="C22" s="8">
        <v>2</v>
      </c>
      <c r="D22" s="9">
        <v>117.98</v>
      </c>
      <c r="E22" s="8" t="s">
        <v>4307</v>
      </c>
      <c r="F22" s="7" t="s">
        <v>3431</v>
      </c>
      <c r="G22" s="10" t="s">
        <v>3489</v>
      </c>
      <c r="H22" s="7" t="s">
        <v>3559</v>
      </c>
      <c r="I22" s="7" t="s">
        <v>4308</v>
      </c>
      <c r="J22" s="7" t="s">
        <v>3426</v>
      </c>
      <c r="K22" s="7" t="s">
        <v>4309</v>
      </c>
      <c r="L22" s="11" t="str">
        <f>HYPERLINK("http://slimages.macys.com/is/image/MCY/12681425 ")</f>
        <v xml:space="preserve">http://slimages.macys.com/is/image/MCY/12681425 </v>
      </c>
    </row>
    <row r="23" spans="1:12" ht="39.950000000000003" customHeight="1" x14ac:dyDescent="0.25">
      <c r="A23" s="6" t="s">
        <v>4310</v>
      </c>
      <c r="B23" s="7" t="s">
        <v>4311</v>
      </c>
      <c r="C23" s="8">
        <v>1</v>
      </c>
      <c r="D23" s="9">
        <v>69.989999999999995</v>
      </c>
      <c r="E23" s="8" t="s">
        <v>4312</v>
      </c>
      <c r="F23" s="7" t="s">
        <v>4313</v>
      </c>
      <c r="G23" s="10" t="s">
        <v>3947</v>
      </c>
      <c r="H23" s="7" t="s">
        <v>3440</v>
      </c>
      <c r="I23" s="7" t="s">
        <v>4314</v>
      </c>
      <c r="J23" s="7" t="s">
        <v>3613</v>
      </c>
      <c r="K23" s="7" t="s">
        <v>4315</v>
      </c>
      <c r="L23" s="11" t="str">
        <f>HYPERLINK("http://images.bloomingdales.com/is/image/BLM/9119230 ")</f>
        <v xml:space="preserve">http://images.bloomingdales.com/is/image/BLM/9119230 </v>
      </c>
    </row>
    <row r="24" spans="1:12" ht="39.950000000000003" customHeight="1" x14ac:dyDescent="0.25">
      <c r="A24" s="6" t="s">
        <v>4316</v>
      </c>
      <c r="B24" s="7" t="s">
        <v>4317</v>
      </c>
      <c r="C24" s="8">
        <v>1</v>
      </c>
      <c r="D24" s="9">
        <v>64.989999999999995</v>
      </c>
      <c r="E24" s="8">
        <v>100071429</v>
      </c>
      <c r="F24" s="7" t="s">
        <v>3445</v>
      </c>
      <c r="G24" s="10" t="s">
        <v>3512</v>
      </c>
      <c r="H24" s="7" t="s">
        <v>3513</v>
      </c>
      <c r="I24" s="7" t="s">
        <v>4318</v>
      </c>
      <c r="J24" s="7" t="s">
        <v>3426</v>
      </c>
      <c r="K24" s="7" t="s">
        <v>4319</v>
      </c>
      <c r="L24" s="11" t="str">
        <f>HYPERLINK("http://slimages.macys.com/is/image/MCY/14337696 ")</f>
        <v xml:space="preserve">http://slimages.macys.com/is/image/MCY/14337696 </v>
      </c>
    </row>
    <row r="25" spans="1:12" ht="39.950000000000003" customHeight="1" x14ac:dyDescent="0.25">
      <c r="A25" s="6" t="s">
        <v>4320</v>
      </c>
      <c r="B25" s="7" t="s">
        <v>4321</v>
      </c>
      <c r="C25" s="8">
        <v>1</v>
      </c>
      <c r="D25" s="9">
        <v>39.99</v>
      </c>
      <c r="E25" s="8">
        <v>17797</v>
      </c>
      <c r="F25" s="7" t="s">
        <v>3496</v>
      </c>
      <c r="G25" s="10" t="s">
        <v>3489</v>
      </c>
      <c r="H25" s="7" t="s">
        <v>3490</v>
      </c>
      <c r="I25" s="7" t="s">
        <v>3943</v>
      </c>
      <c r="J25" s="7" t="s">
        <v>3426</v>
      </c>
      <c r="K25" s="7" t="s">
        <v>3518</v>
      </c>
      <c r="L25" s="11" t="str">
        <f>HYPERLINK("http://slimages.macys.com/is/image/MCY/9175647 ")</f>
        <v xml:space="preserve">http://slimages.macys.com/is/image/MCY/9175647 </v>
      </c>
    </row>
    <row r="26" spans="1:12" ht="39.950000000000003" customHeight="1" x14ac:dyDescent="0.25">
      <c r="A26" s="6" t="s">
        <v>4322</v>
      </c>
      <c r="B26" s="7" t="s">
        <v>4323</v>
      </c>
      <c r="C26" s="8">
        <v>2</v>
      </c>
      <c r="D26" s="9">
        <v>109.98</v>
      </c>
      <c r="E26" s="8" t="s">
        <v>4324</v>
      </c>
      <c r="F26" s="7" t="s">
        <v>4325</v>
      </c>
      <c r="G26" s="10" t="s">
        <v>4031</v>
      </c>
      <c r="H26" s="7" t="s">
        <v>3635</v>
      </c>
      <c r="I26" s="7" t="s">
        <v>4326</v>
      </c>
      <c r="J26" s="7" t="s">
        <v>3564</v>
      </c>
      <c r="K26" s="7" t="s">
        <v>3556</v>
      </c>
      <c r="L26" s="11" t="str">
        <f>HYPERLINK("http://images.bloomingdales.com/is/image/BLM/8538454 ")</f>
        <v xml:space="preserve">http://images.bloomingdales.com/is/image/BLM/8538454 </v>
      </c>
    </row>
    <row r="27" spans="1:12" ht="39.950000000000003" customHeight="1" x14ac:dyDescent="0.25">
      <c r="A27" s="6" t="s">
        <v>4327</v>
      </c>
      <c r="B27" s="7" t="s">
        <v>4328</v>
      </c>
      <c r="C27" s="8">
        <v>1</v>
      </c>
      <c r="D27" s="9">
        <v>49.99</v>
      </c>
      <c r="E27" s="8" t="s">
        <v>4329</v>
      </c>
      <c r="F27" s="7" t="s">
        <v>3445</v>
      </c>
      <c r="G27" s="10"/>
      <c r="H27" s="7" t="s">
        <v>3478</v>
      </c>
      <c r="I27" s="7" t="s">
        <v>3517</v>
      </c>
      <c r="J27" s="7" t="s">
        <v>3426</v>
      </c>
      <c r="K27" s="7" t="s">
        <v>3592</v>
      </c>
      <c r="L27" s="11" t="str">
        <f>HYPERLINK("http://slimages.macys.com/is/image/MCY/9330026 ")</f>
        <v xml:space="preserve">http://slimages.macys.com/is/image/MCY/9330026 </v>
      </c>
    </row>
    <row r="28" spans="1:12" ht="39.950000000000003" customHeight="1" x14ac:dyDescent="0.25">
      <c r="A28" s="6" t="s">
        <v>4330</v>
      </c>
      <c r="B28" s="7" t="s">
        <v>4331</v>
      </c>
      <c r="C28" s="8">
        <v>1</v>
      </c>
      <c r="D28" s="9">
        <v>59.99</v>
      </c>
      <c r="E28" s="8" t="s">
        <v>4332</v>
      </c>
      <c r="F28" s="7" t="s">
        <v>3477</v>
      </c>
      <c r="G28" s="10"/>
      <c r="H28" s="7" t="s">
        <v>3467</v>
      </c>
      <c r="I28" s="7" t="s">
        <v>4333</v>
      </c>
      <c r="J28" s="7" t="s">
        <v>3426</v>
      </c>
      <c r="K28" s="7" t="s">
        <v>4251</v>
      </c>
      <c r="L28" s="11" t="str">
        <f>HYPERLINK("http://slimages.macys.com/is/image/MCY/17667941 ")</f>
        <v xml:space="preserve">http://slimages.macys.com/is/image/MCY/17667941 </v>
      </c>
    </row>
    <row r="29" spans="1:12" ht="39.950000000000003" customHeight="1" x14ac:dyDescent="0.25">
      <c r="A29" s="6" t="s">
        <v>4334</v>
      </c>
      <c r="B29" s="7" t="s">
        <v>4335</v>
      </c>
      <c r="C29" s="8">
        <v>1</v>
      </c>
      <c r="D29" s="9">
        <v>41.99</v>
      </c>
      <c r="E29" s="8" t="s">
        <v>4336</v>
      </c>
      <c r="F29" s="7" t="s">
        <v>3438</v>
      </c>
      <c r="G29" s="10" t="s">
        <v>3809</v>
      </c>
      <c r="H29" s="7" t="s">
        <v>3490</v>
      </c>
      <c r="I29" s="7" t="s">
        <v>3810</v>
      </c>
      <c r="J29" s="7" t="s">
        <v>3426</v>
      </c>
      <c r="K29" s="7" t="s">
        <v>3518</v>
      </c>
      <c r="L29" s="11" t="str">
        <f>HYPERLINK("http://slimages.macys.com/is/image/MCY/12473397 ")</f>
        <v xml:space="preserve">http://slimages.macys.com/is/image/MCY/12473397 </v>
      </c>
    </row>
    <row r="30" spans="1:12" ht="39.950000000000003" customHeight="1" x14ac:dyDescent="0.25">
      <c r="A30" s="6" t="s">
        <v>4337</v>
      </c>
      <c r="B30" s="7" t="s">
        <v>4338</v>
      </c>
      <c r="C30" s="8">
        <v>2</v>
      </c>
      <c r="D30" s="9">
        <v>71.98</v>
      </c>
      <c r="E30" s="8" t="s">
        <v>4339</v>
      </c>
      <c r="F30" s="7" t="s">
        <v>3431</v>
      </c>
      <c r="G30" s="10"/>
      <c r="H30" s="7" t="s">
        <v>3490</v>
      </c>
      <c r="I30" s="7" t="s">
        <v>3553</v>
      </c>
      <c r="J30" s="7" t="s">
        <v>3426</v>
      </c>
      <c r="K30" s="7" t="s">
        <v>4340</v>
      </c>
      <c r="L30" s="11" t="str">
        <f>HYPERLINK("http://slimages.macys.com/is/image/MCY/8216605 ")</f>
        <v xml:space="preserve">http://slimages.macys.com/is/image/MCY/8216605 </v>
      </c>
    </row>
    <row r="31" spans="1:12" ht="39.950000000000003" customHeight="1" x14ac:dyDescent="0.25">
      <c r="A31" s="6" t="s">
        <v>4341</v>
      </c>
      <c r="B31" s="7" t="s">
        <v>4342</v>
      </c>
      <c r="C31" s="8">
        <v>1</v>
      </c>
      <c r="D31" s="9">
        <v>30.99</v>
      </c>
      <c r="E31" s="8" t="s">
        <v>4343</v>
      </c>
      <c r="F31" s="7" t="s">
        <v>3431</v>
      </c>
      <c r="G31" s="10"/>
      <c r="H31" s="7" t="s">
        <v>3542</v>
      </c>
      <c r="I31" s="7" t="s">
        <v>3543</v>
      </c>
      <c r="J31" s="7" t="s">
        <v>3426</v>
      </c>
      <c r="K31" s="7" t="s">
        <v>3765</v>
      </c>
      <c r="L31" s="11" t="str">
        <f>HYPERLINK("http://slimages.macys.com/is/image/MCY/10377600 ")</f>
        <v xml:space="preserve">http://slimages.macys.com/is/image/MCY/10377600 </v>
      </c>
    </row>
    <row r="32" spans="1:12" ht="39.950000000000003" customHeight="1" x14ac:dyDescent="0.25">
      <c r="A32" s="6" t="s">
        <v>4344</v>
      </c>
      <c r="B32" s="7" t="s">
        <v>4345</v>
      </c>
      <c r="C32" s="8">
        <v>1</v>
      </c>
      <c r="D32" s="9">
        <v>29.99</v>
      </c>
      <c r="E32" s="8">
        <v>1011065100</v>
      </c>
      <c r="F32" s="7" t="s">
        <v>3445</v>
      </c>
      <c r="G32" s="10"/>
      <c r="H32" s="7" t="s">
        <v>3654</v>
      </c>
      <c r="I32" s="7" t="s">
        <v>3622</v>
      </c>
      <c r="J32" s="7"/>
      <c r="K32" s="7"/>
      <c r="L32" s="11" t="str">
        <f>HYPERLINK("http://slimages.macys.com/is/image/MCY/17798892 ")</f>
        <v xml:space="preserve">http://slimages.macys.com/is/image/MCY/17798892 </v>
      </c>
    </row>
    <row r="33" spans="1:12" ht="39.950000000000003" customHeight="1" x14ac:dyDescent="0.25">
      <c r="A33" s="6" t="s">
        <v>4346</v>
      </c>
      <c r="B33" s="7" t="s">
        <v>4347</v>
      </c>
      <c r="C33" s="8">
        <v>1</v>
      </c>
      <c r="D33" s="9">
        <v>29.99</v>
      </c>
      <c r="E33" s="8">
        <v>224365</v>
      </c>
      <c r="F33" s="7" t="s">
        <v>4325</v>
      </c>
      <c r="G33" s="10" t="s">
        <v>3512</v>
      </c>
      <c r="H33" s="7" t="s">
        <v>3424</v>
      </c>
      <c r="I33" s="7" t="s">
        <v>3425</v>
      </c>
      <c r="J33" s="7" t="s">
        <v>3426</v>
      </c>
      <c r="K33" s="7" t="s">
        <v>3811</v>
      </c>
      <c r="L33" s="11" t="str">
        <f>HYPERLINK("http://slimages.macys.com/is/image/MCY/10312693 ")</f>
        <v xml:space="preserve">http://slimages.macys.com/is/image/MCY/10312693 </v>
      </c>
    </row>
    <row r="34" spans="1:12" ht="39.950000000000003" customHeight="1" x14ac:dyDescent="0.25">
      <c r="A34" s="6" t="s">
        <v>4348</v>
      </c>
      <c r="B34" s="7" t="s">
        <v>4349</v>
      </c>
      <c r="C34" s="8">
        <v>1</v>
      </c>
      <c r="D34" s="9">
        <v>29.99</v>
      </c>
      <c r="E34" s="8" t="s">
        <v>4350</v>
      </c>
      <c r="F34" s="7" t="s">
        <v>3463</v>
      </c>
      <c r="G34" s="10"/>
      <c r="H34" s="7" t="s">
        <v>3583</v>
      </c>
      <c r="I34" s="7" t="s">
        <v>3553</v>
      </c>
      <c r="J34" s="7" t="s">
        <v>3426</v>
      </c>
      <c r="K34" s="7" t="s">
        <v>3765</v>
      </c>
      <c r="L34" s="11" t="str">
        <f>HYPERLINK("http://slimages.macys.com/is/image/MCY/10082147 ")</f>
        <v xml:space="preserve">http://slimages.macys.com/is/image/MCY/10082147 </v>
      </c>
    </row>
    <row r="35" spans="1:12" ht="39.950000000000003" customHeight="1" x14ac:dyDescent="0.25">
      <c r="A35" s="6" t="s">
        <v>4351</v>
      </c>
      <c r="B35" s="7" t="s">
        <v>4352</v>
      </c>
      <c r="C35" s="8">
        <v>2</v>
      </c>
      <c r="D35" s="9">
        <v>77.98</v>
      </c>
      <c r="E35" s="8" t="s">
        <v>4353</v>
      </c>
      <c r="F35" s="7" t="s">
        <v>3445</v>
      </c>
      <c r="G35" s="10"/>
      <c r="H35" s="7" t="s">
        <v>3478</v>
      </c>
      <c r="I35" s="7" t="s">
        <v>4354</v>
      </c>
      <c r="J35" s="7" t="s">
        <v>3426</v>
      </c>
      <c r="K35" s="7" t="s">
        <v>3556</v>
      </c>
      <c r="L35" s="11" t="str">
        <f>HYPERLINK("http://slimages.macys.com/is/image/MCY/11629359 ")</f>
        <v xml:space="preserve">http://slimages.macys.com/is/image/MCY/11629359 </v>
      </c>
    </row>
    <row r="36" spans="1:12" ht="39.950000000000003" customHeight="1" x14ac:dyDescent="0.25">
      <c r="A36" s="6" t="s">
        <v>4355</v>
      </c>
      <c r="B36" s="7" t="s">
        <v>4356</v>
      </c>
      <c r="C36" s="8">
        <v>1</v>
      </c>
      <c r="D36" s="9">
        <v>16.989999999999998</v>
      </c>
      <c r="E36" s="8" t="s">
        <v>4357</v>
      </c>
      <c r="F36" s="7" t="s">
        <v>3445</v>
      </c>
      <c r="G36" s="10"/>
      <c r="H36" s="7" t="s">
        <v>3559</v>
      </c>
      <c r="I36" s="7" t="s">
        <v>3996</v>
      </c>
      <c r="J36" s="7"/>
      <c r="K36" s="7"/>
      <c r="L36" s="11" t="str">
        <f>HYPERLINK("http://slimages.macys.com/is/image/MCY/17934766 ")</f>
        <v xml:space="preserve">http://slimages.macys.com/is/image/MCY/17934766 </v>
      </c>
    </row>
    <row r="37" spans="1:12" ht="39.950000000000003" customHeight="1" x14ac:dyDescent="0.25">
      <c r="A37" s="6" t="s">
        <v>3589</v>
      </c>
      <c r="B37" s="7" t="s">
        <v>3590</v>
      </c>
      <c r="C37" s="8">
        <v>1</v>
      </c>
      <c r="D37" s="9">
        <v>29.99</v>
      </c>
      <c r="E37" s="8" t="s">
        <v>3591</v>
      </c>
      <c r="F37" s="7" t="s">
        <v>3496</v>
      </c>
      <c r="G37" s="10"/>
      <c r="H37" s="7" t="s">
        <v>3478</v>
      </c>
      <c r="I37" s="7" t="s">
        <v>3517</v>
      </c>
      <c r="J37" s="7" t="s">
        <v>3426</v>
      </c>
      <c r="K37" s="7" t="s">
        <v>3592</v>
      </c>
      <c r="L37" s="11" t="str">
        <f>HYPERLINK("http://slimages.macys.com/is/image/MCY/9700679 ")</f>
        <v xml:space="preserve">http://slimages.macys.com/is/image/MCY/9700679 </v>
      </c>
    </row>
    <row r="38" spans="1:12" ht="39.950000000000003" customHeight="1" x14ac:dyDescent="0.25">
      <c r="A38" s="6" t="s">
        <v>4358</v>
      </c>
      <c r="B38" s="7" t="s">
        <v>4323</v>
      </c>
      <c r="C38" s="8">
        <v>3</v>
      </c>
      <c r="D38" s="9">
        <v>119.97</v>
      </c>
      <c r="E38" s="8" t="s">
        <v>4359</v>
      </c>
      <c r="F38" s="7" t="s">
        <v>4325</v>
      </c>
      <c r="G38" s="10" t="s">
        <v>4360</v>
      </c>
      <c r="H38" s="7" t="s">
        <v>3635</v>
      </c>
      <c r="I38" s="7" t="s">
        <v>4326</v>
      </c>
      <c r="J38" s="7" t="s">
        <v>3601</v>
      </c>
      <c r="K38" s="7" t="s">
        <v>3556</v>
      </c>
      <c r="L38" s="11" t="str">
        <f>HYPERLINK("http://images.bloomingdales.com/is/image/BLM/8538454 ")</f>
        <v xml:space="preserve">http://images.bloomingdales.com/is/image/BLM/8538454 </v>
      </c>
    </row>
    <row r="39" spans="1:12" ht="39.950000000000003" customHeight="1" x14ac:dyDescent="0.25">
      <c r="A39" s="6" t="s">
        <v>4361</v>
      </c>
      <c r="B39" s="7" t="s">
        <v>4362</v>
      </c>
      <c r="C39" s="8">
        <v>2</v>
      </c>
      <c r="D39" s="9">
        <v>65.98</v>
      </c>
      <c r="E39" s="8" t="s">
        <v>4363</v>
      </c>
      <c r="F39" s="7" t="s">
        <v>3445</v>
      </c>
      <c r="G39" s="10"/>
      <c r="H39" s="7" t="s">
        <v>3478</v>
      </c>
      <c r="I39" s="7" t="s">
        <v>4354</v>
      </c>
      <c r="J39" s="7" t="s">
        <v>3426</v>
      </c>
      <c r="K39" s="7" t="s">
        <v>3556</v>
      </c>
      <c r="L39" s="11" t="str">
        <f>HYPERLINK("http://slimages.macys.com/is/image/MCY/11629357 ")</f>
        <v xml:space="preserve">http://slimages.macys.com/is/image/MCY/11629357 </v>
      </c>
    </row>
    <row r="40" spans="1:12" ht="39.950000000000003" customHeight="1" x14ac:dyDescent="0.25">
      <c r="A40" s="6" t="s">
        <v>4364</v>
      </c>
      <c r="B40" s="7" t="s">
        <v>4365</v>
      </c>
      <c r="C40" s="8">
        <v>2</v>
      </c>
      <c r="D40" s="9">
        <v>69.98</v>
      </c>
      <c r="E40" s="8" t="s">
        <v>4366</v>
      </c>
      <c r="F40" s="7" t="s">
        <v>4313</v>
      </c>
      <c r="G40" s="10" t="s">
        <v>4031</v>
      </c>
      <c r="H40" s="7" t="s">
        <v>3635</v>
      </c>
      <c r="I40" s="7" t="s">
        <v>4326</v>
      </c>
      <c r="J40" s="7" t="s">
        <v>4367</v>
      </c>
      <c r="K40" s="7" t="s">
        <v>3556</v>
      </c>
      <c r="L40" s="11" t="str">
        <f>HYPERLINK("http://images.bloomingdales.com/is/image/BLM/9787432 ")</f>
        <v xml:space="preserve">http://images.bloomingdales.com/is/image/BLM/9787432 </v>
      </c>
    </row>
    <row r="41" spans="1:12" ht="39.950000000000003" customHeight="1" x14ac:dyDescent="0.25">
      <c r="A41" s="6" t="s">
        <v>4368</v>
      </c>
      <c r="B41" s="7" t="s">
        <v>4369</v>
      </c>
      <c r="C41" s="8">
        <v>2</v>
      </c>
      <c r="D41" s="9">
        <v>69.98</v>
      </c>
      <c r="E41" s="8" t="s">
        <v>4370</v>
      </c>
      <c r="F41" s="7" t="s">
        <v>3674</v>
      </c>
      <c r="G41" s="10" t="s">
        <v>4031</v>
      </c>
      <c r="H41" s="7" t="s">
        <v>3635</v>
      </c>
      <c r="I41" s="7" t="s">
        <v>4326</v>
      </c>
      <c r="J41" s="7" t="s">
        <v>4367</v>
      </c>
      <c r="K41" s="7" t="s">
        <v>3556</v>
      </c>
      <c r="L41" s="11" t="str">
        <f>HYPERLINK("http://images.bloomingdales.com/is/image/BLM/9787432 ")</f>
        <v xml:space="preserve">http://images.bloomingdales.com/is/image/BLM/9787432 </v>
      </c>
    </row>
    <row r="42" spans="1:12" ht="39.950000000000003" customHeight="1" x14ac:dyDescent="0.25">
      <c r="A42" s="6" t="s">
        <v>4371</v>
      </c>
      <c r="B42" s="7" t="s">
        <v>4372</v>
      </c>
      <c r="C42" s="8">
        <v>1</v>
      </c>
      <c r="D42" s="9">
        <v>21.99</v>
      </c>
      <c r="E42" s="8" t="s">
        <v>4373</v>
      </c>
      <c r="F42" s="7" t="s">
        <v>3445</v>
      </c>
      <c r="G42" s="10"/>
      <c r="H42" s="7" t="s">
        <v>3542</v>
      </c>
      <c r="I42" s="7" t="s">
        <v>4374</v>
      </c>
      <c r="J42" s="7" t="s">
        <v>3426</v>
      </c>
      <c r="K42" s="7" t="s">
        <v>4300</v>
      </c>
      <c r="L42" s="11" t="str">
        <f>HYPERLINK("http://slimages.macys.com/is/image/MCY/10681725 ")</f>
        <v xml:space="preserve">http://slimages.macys.com/is/image/MCY/10681725 </v>
      </c>
    </row>
    <row r="43" spans="1:12" ht="39.950000000000003" customHeight="1" x14ac:dyDescent="0.25">
      <c r="A43" s="6" t="s">
        <v>4375</v>
      </c>
      <c r="B43" s="7" t="s">
        <v>4376</v>
      </c>
      <c r="C43" s="8">
        <v>1</v>
      </c>
      <c r="D43" s="9">
        <v>19.989999999999998</v>
      </c>
      <c r="E43" s="8" t="s">
        <v>4377</v>
      </c>
      <c r="F43" s="7" t="s">
        <v>3445</v>
      </c>
      <c r="G43" s="10"/>
      <c r="H43" s="7" t="s">
        <v>3542</v>
      </c>
      <c r="I43" s="7" t="s">
        <v>3577</v>
      </c>
      <c r="J43" s="7" t="s">
        <v>3426</v>
      </c>
      <c r="K43" s="7" t="s">
        <v>3518</v>
      </c>
      <c r="L43" s="11" t="str">
        <f>HYPERLINK("http://slimages.macys.com/is/image/MCY/13743272 ")</f>
        <v xml:space="preserve">http://slimages.macys.com/is/image/MCY/13743272 </v>
      </c>
    </row>
    <row r="44" spans="1:12" ht="39.950000000000003" customHeight="1" x14ac:dyDescent="0.25">
      <c r="A44" s="6" t="s">
        <v>4378</v>
      </c>
      <c r="B44" s="7" t="s">
        <v>4379</v>
      </c>
      <c r="C44" s="8">
        <v>1</v>
      </c>
      <c r="D44" s="9">
        <v>29.99</v>
      </c>
      <c r="E44" s="8" t="s">
        <v>4380</v>
      </c>
      <c r="F44" s="7" t="s">
        <v>3431</v>
      </c>
      <c r="G44" s="10" t="s">
        <v>3489</v>
      </c>
      <c r="H44" s="7" t="s">
        <v>3432</v>
      </c>
      <c r="I44" s="7" t="s">
        <v>4119</v>
      </c>
      <c r="J44" s="7" t="s">
        <v>3426</v>
      </c>
      <c r="K44" s="7" t="s">
        <v>3518</v>
      </c>
      <c r="L44" s="11" t="str">
        <f>HYPERLINK("http://slimages.macys.com/is/image/MCY/8589764 ")</f>
        <v xml:space="preserve">http://slimages.macys.com/is/image/MCY/8589764 </v>
      </c>
    </row>
    <row r="45" spans="1:12" ht="39.950000000000003" customHeight="1" x14ac:dyDescent="0.25">
      <c r="A45" s="6" t="s">
        <v>4381</v>
      </c>
      <c r="B45" s="7" t="s">
        <v>4382</v>
      </c>
      <c r="C45" s="8">
        <v>1</v>
      </c>
      <c r="D45" s="9">
        <v>17.989999999999998</v>
      </c>
      <c r="E45" s="8">
        <v>51746</v>
      </c>
      <c r="F45" s="7" t="s">
        <v>3674</v>
      </c>
      <c r="G45" s="10" t="s">
        <v>4383</v>
      </c>
      <c r="H45" s="7" t="s">
        <v>3490</v>
      </c>
      <c r="I45" s="7" t="s">
        <v>3649</v>
      </c>
      <c r="J45" s="7" t="s">
        <v>3426</v>
      </c>
      <c r="K45" s="7"/>
      <c r="L45" s="11" t="str">
        <f>HYPERLINK("http://slimages.macys.com/is/image/MCY/9057692 ")</f>
        <v xml:space="preserve">http://slimages.macys.com/is/image/MCY/9057692 </v>
      </c>
    </row>
    <row r="46" spans="1:12" ht="39.950000000000003" customHeight="1" x14ac:dyDescent="0.25">
      <c r="A46" s="6" t="s">
        <v>4384</v>
      </c>
      <c r="B46" s="7" t="s">
        <v>4385</v>
      </c>
      <c r="C46" s="8">
        <v>1</v>
      </c>
      <c r="D46" s="9">
        <v>12.99</v>
      </c>
      <c r="E46" s="8" t="s">
        <v>4386</v>
      </c>
      <c r="F46" s="7" t="s">
        <v>3720</v>
      </c>
      <c r="G46" s="10" t="s">
        <v>4387</v>
      </c>
      <c r="H46" s="7" t="s">
        <v>3568</v>
      </c>
      <c r="I46" s="7" t="s">
        <v>4388</v>
      </c>
      <c r="J46" s="7" t="s">
        <v>3426</v>
      </c>
      <c r="K46" s="7" t="s">
        <v>4251</v>
      </c>
      <c r="L46" s="11" t="str">
        <f>HYPERLINK("http://slimages.macys.com/is/image/MCY/9962009 ")</f>
        <v xml:space="preserve">http://slimages.macys.com/is/image/MCY/9962009 </v>
      </c>
    </row>
    <row r="47" spans="1:12" ht="39.950000000000003" customHeight="1" x14ac:dyDescent="0.25">
      <c r="A47" s="6" t="s">
        <v>4389</v>
      </c>
      <c r="B47" s="7" t="s">
        <v>4390</v>
      </c>
      <c r="C47" s="8">
        <v>2</v>
      </c>
      <c r="D47" s="9">
        <v>31.98</v>
      </c>
      <c r="E47" s="8">
        <v>37354</v>
      </c>
      <c r="F47" s="7" t="s">
        <v>3445</v>
      </c>
      <c r="G47" s="10"/>
      <c r="H47" s="7" t="s">
        <v>3490</v>
      </c>
      <c r="I47" s="7" t="s">
        <v>3649</v>
      </c>
      <c r="J47" s="7" t="s">
        <v>3426</v>
      </c>
      <c r="K47" s="7" t="s">
        <v>3518</v>
      </c>
      <c r="L47" s="11" t="str">
        <f>HYPERLINK("http://slimages.macys.com/is/image/MCY/10009171 ")</f>
        <v xml:space="preserve">http://slimages.macys.com/is/image/MCY/10009171 </v>
      </c>
    </row>
    <row r="48" spans="1:12" ht="39.950000000000003" customHeight="1" x14ac:dyDescent="0.25">
      <c r="A48" s="6" t="s">
        <v>3644</v>
      </c>
      <c r="B48" s="7" t="s">
        <v>3645</v>
      </c>
      <c r="C48" s="8">
        <v>1</v>
      </c>
      <c r="D48" s="9">
        <v>29.99</v>
      </c>
      <c r="E48" s="8" t="s">
        <v>3646</v>
      </c>
      <c r="F48" s="7" t="s">
        <v>3610</v>
      </c>
      <c r="G48" s="10" t="s">
        <v>3617</v>
      </c>
      <c r="H48" s="7" t="s">
        <v>3525</v>
      </c>
      <c r="I48" s="7" t="s">
        <v>3612</v>
      </c>
      <c r="J48" s="7" t="s">
        <v>3613</v>
      </c>
      <c r="K48" s="7"/>
      <c r="L48" s="11" t="str">
        <f>HYPERLINK("http://slimages.macys.com/is/image/MCY/9406085 ")</f>
        <v xml:space="preserve">http://slimages.macys.com/is/image/MCY/9406085 </v>
      </c>
    </row>
    <row r="49" spans="1:12" ht="39.950000000000003" customHeight="1" x14ac:dyDescent="0.25">
      <c r="A49" s="6" t="s">
        <v>4391</v>
      </c>
      <c r="B49" s="7" t="s">
        <v>4392</v>
      </c>
      <c r="C49" s="8">
        <v>1</v>
      </c>
      <c r="D49" s="9">
        <v>97.99</v>
      </c>
      <c r="E49" s="8" t="s">
        <v>4393</v>
      </c>
      <c r="F49" s="7" t="s">
        <v>3832</v>
      </c>
      <c r="G49" s="10" t="s">
        <v>3489</v>
      </c>
      <c r="H49" s="7" t="s">
        <v>3478</v>
      </c>
      <c r="I49" s="7" t="s">
        <v>4394</v>
      </c>
      <c r="J49" s="7"/>
      <c r="K49" s="7"/>
      <c r="L49" s="11"/>
    </row>
    <row r="50" spans="1:12" ht="39.950000000000003" customHeight="1" x14ac:dyDescent="0.25">
      <c r="A50" s="6" t="s">
        <v>3667</v>
      </c>
      <c r="B50" s="7" t="s">
        <v>3668</v>
      </c>
      <c r="C50" s="8">
        <v>5</v>
      </c>
      <c r="D50" s="9">
        <v>200</v>
      </c>
      <c r="E50" s="8"/>
      <c r="F50" s="7" t="s">
        <v>3610</v>
      </c>
      <c r="G50" s="10" t="s">
        <v>3489</v>
      </c>
      <c r="H50" s="7" t="s">
        <v>3669</v>
      </c>
      <c r="I50" s="7" t="s">
        <v>3670</v>
      </c>
      <c r="J50" s="7"/>
      <c r="K50" s="7"/>
      <c r="L50" s="11"/>
    </row>
    <row r="51" spans="1:12" ht="39.950000000000003" customHeight="1" x14ac:dyDescent="0.25">
      <c r="A51" s="6" t="s">
        <v>4395</v>
      </c>
      <c r="B51" s="7" t="s">
        <v>4396</v>
      </c>
      <c r="C51" s="8">
        <v>1</v>
      </c>
      <c r="D51" s="9">
        <v>52.99</v>
      </c>
      <c r="E51" s="8">
        <v>35101</v>
      </c>
      <c r="F51" s="7" t="s">
        <v>3445</v>
      </c>
      <c r="G51" s="10"/>
      <c r="H51" s="7" t="s">
        <v>3559</v>
      </c>
      <c r="I51" s="7" t="s">
        <v>3560</v>
      </c>
      <c r="J51" s="7"/>
      <c r="K51" s="7"/>
      <c r="L51" s="11"/>
    </row>
    <row r="52" spans="1:12" ht="39.950000000000003" customHeight="1" x14ac:dyDescent="0.25">
      <c r="A52" s="6" t="s">
        <v>4397</v>
      </c>
      <c r="B52" s="7" t="s">
        <v>4398</v>
      </c>
      <c r="C52" s="8">
        <v>1</v>
      </c>
      <c r="D52" s="9">
        <v>29.99</v>
      </c>
      <c r="E52" s="8" t="s">
        <v>4399</v>
      </c>
      <c r="F52" s="7"/>
      <c r="G52" s="10" t="s">
        <v>4400</v>
      </c>
      <c r="H52" s="7" t="s">
        <v>3490</v>
      </c>
      <c r="I52" s="7" t="s">
        <v>3805</v>
      </c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4401</v>
      </c>
      <c r="B2" s="7" t="s">
        <v>4402</v>
      </c>
      <c r="C2" s="8">
        <v>1</v>
      </c>
      <c r="D2" s="9">
        <v>379.99</v>
      </c>
      <c r="E2" s="8" t="s">
        <v>4403</v>
      </c>
      <c r="F2" s="7" t="s">
        <v>4047</v>
      </c>
      <c r="G2" s="10"/>
      <c r="H2" s="7" t="s">
        <v>3688</v>
      </c>
      <c r="I2" s="7" t="s">
        <v>3871</v>
      </c>
      <c r="J2" s="7" t="s">
        <v>3426</v>
      </c>
      <c r="K2" s="7" t="s">
        <v>3811</v>
      </c>
      <c r="L2" s="11" t="str">
        <f>HYPERLINK("http://slimages.macys.com/is/image/MCY/14737596 ")</f>
        <v xml:space="preserve">http://slimages.macys.com/is/image/MCY/14737596 </v>
      </c>
    </row>
    <row r="3" spans="1:12" ht="39.950000000000003" customHeight="1" x14ac:dyDescent="0.25">
      <c r="A3" s="6" t="s">
        <v>4404</v>
      </c>
      <c r="B3" s="7" t="s">
        <v>4405</v>
      </c>
      <c r="C3" s="8">
        <v>1</v>
      </c>
      <c r="D3" s="9">
        <v>299.99</v>
      </c>
      <c r="E3" s="8" t="s">
        <v>4406</v>
      </c>
      <c r="F3" s="7" t="s">
        <v>3445</v>
      </c>
      <c r="G3" s="10"/>
      <c r="H3" s="7" t="s">
        <v>3688</v>
      </c>
      <c r="I3" s="7" t="s">
        <v>3871</v>
      </c>
      <c r="J3" s="7" t="s">
        <v>3426</v>
      </c>
      <c r="K3" s="7" t="s">
        <v>4407</v>
      </c>
      <c r="L3" s="11" t="str">
        <f>HYPERLINK("http://slimages.macys.com/is/image/MCY/12937364 ")</f>
        <v xml:space="preserve">http://slimages.macys.com/is/image/MCY/12937364 </v>
      </c>
    </row>
    <row r="4" spans="1:12" ht="39.950000000000003" customHeight="1" x14ac:dyDescent="0.25">
      <c r="A4" s="6" t="s">
        <v>4408</v>
      </c>
      <c r="B4" s="7" t="s">
        <v>4409</v>
      </c>
      <c r="C4" s="8">
        <v>1</v>
      </c>
      <c r="D4" s="9">
        <v>340.99</v>
      </c>
      <c r="E4" s="8" t="s">
        <v>4410</v>
      </c>
      <c r="F4" s="7" t="s">
        <v>3720</v>
      </c>
      <c r="G4" s="10"/>
      <c r="H4" s="7" t="s">
        <v>3478</v>
      </c>
      <c r="I4" s="7" t="s">
        <v>4411</v>
      </c>
      <c r="J4" s="7" t="s">
        <v>3426</v>
      </c>
      <c r="K4" s="7" t="s">
        <v>3518</v>
      </c>
      <c r="L4" s="11" t="str">
        <f>HYPERLINK("http://slimages.macys.com/is/image/MCY/15504822 ")</f>
        <v xml:space="preserve">http://slimages.macys.com/is/image/MCY/15504822 </v>
      </c>
    </row>
    <row r="5" spans="1:12" ht="39.950000000000003" customHeight="1" x14ac:dyDescent="0.25">
      <c r="A5" s="6" t="s">
        <v>4412</v>
      </c>
      <c r="B5" s="7" t="s">
        <v>4413</v>
      </c>
      <c r="C5" s="8">
        <v>1</v>
      </c>
      <c r="D5" s="9">
        <v>249.99</v>
      </c>
      <c r="E5" s="8" t="s">
        <v>4414</v>
      </c>
      <c r="F5" s="7" t="s">
        <v>3511</v>
      </c>
      <c r="G5" s="10"/>
      <c r="H5" s="7" t="s">
        <v>3440</v>
      </c>
      <c r="I5" s="7" t="s">
        <v>4036</v>
      </c>
      <c r="J5" s="7" t="s">
        <v>3426</v>
      </c>
      <c r="K5" s="7" t="s">
        <v>4415</v>
      </c>
      <c r="L5" s="11" t="str">
        <f>HYPERLINK("http://slimages.macys.com/is/image/MCY/9619531 ")</f>
        <v xml:space="preserve">http://slimages.macys.com/is/image/MCY/9619531 </v>
      </c>
    </row>
    <row r="6" spans="1:12" ht="39.950000000000003" customHeight="1" x14ac:dyDescent="0.25">
      <c r="A6" s="6" t="s">
        <v>4416</v>
      </c>
      <c r="B6" s="7" t="s">
        <v>4417</v>
      </c>
      <c r="C6" s="8">
        <v>1</v>
      </c>
      <c r="D6" s="9">
        <v>279.99</v>
      </c>
      <c r="E6" s="8" t="s">
        <v>4418</v>
      </c>
      <c r="F6" s="7" t="s">
        <v>3511</v>
      </c>
      <c r="G6" s="10"/>
      <c r="H6" s="7" t="s">
        <v>3440</v>
      </c>
      <c r="I6" s="7" t="s">
        <v>3683</v>
      </c>
      <c r="J6" s="7" t="s">
        <v>3426</v>
      </c>
      <c r="K6" s="7" t="s">
        <v>4419</v>
      </c>
      <c r="L6" s="11" t="str">
        <f>HYPERLINK("http://slimages.macys.com/is/image/MCY/15767048 ")</f>
        <v xml:space="preserve">http://slimages.macys.com/is/image/MCY/15767048 </v>
      </c>
    </row>
    <row r="7" spans="1:12" ht="39.950000000000003" customHeight="1" x14ac:dyDescent="0.25">
      <c r="A7" s="6" t="s">
        <v>4420</v>
      </c>
      <c r="B7" s="7" t="s">
        <v>4421</v>
      </c>
      <c r="C7" s="8">
        <v>1</v>
      </c>
      <c r="D7" s="9">
        <v>219.99</v>
      </c>
      <c r="E7" s="8" t="s">
        <v>4422</v>
      </c>
      <c r="F7" s="7" t="s">
        <v>3716</v>
      </c>
      <c r="G7" s="10"/>
      <c r="H7" s="7" t="s">
        <v>3478</v>
      </c>
      <c r="I7" s="7" t="s">
        <v>3553</v>
      </c>
      <c r="J7" s="7" t="s">
        <v>3426</v>
      </c>
      <c r="K7" s="7" t="s">
        <v>4423</v>
      </c>
      <c r="L7" s="11" t="str">
        <f>HYPERLINK("http://slimages.macys.com/is/image/MCY/9536375 ")</f>
        <v xml:space="preserve">http://slimages.macys.com/is/image/MCY/9536375 </v>
      </c>
    </row>
    <row r="8" spans="1:12" ht="39.950000000000003" customHeight="1" x14ac:dyDescent="0.25">
      <c r="A8" s="6" t="s">
        <v>4424</v>
      </c>
      <c r="B8" s="7" t="s">
        <v>4425</v>
      </c>
      <c r="C8" s="8">
        <v>1</v>
      </c>
      <c r="D8" s="9">
        <v>249.99</v>
      </c>
      <c r="E8" s="8" t="s">
        <v>4426</v>
      </c>
      <c r="F8" s="7" t="s">
        <v>3438</v>
      </c>
      <c r="G8" s="10"/>
      <c r="H8" s="7" t="s">
        <v>3440</v>
      </c>
      <c r="I8" s="7" t="s">
        <v>3683</v>
      </c>
      <c r="J8" s="7" t="s">
        <v>3426</v>
      </c>
      <c r="K8" s="7"/>
      <c r="L8" s="11" t="str">
        <f>HYPERLINK("http://slimages.macys.com/is/image/MCY/8453058 ")</f>
        <v xml:space="preserve">http://slimages.macys.com/is/image/MCY/8453058 </v>
      </c>
    </row>
    <row r="9" spans="1:12" ht="39.950000000000003" customHeight="1" x14ac:dyDescent="0.25">
      <c r="A9" s="6" t="s">
        <v>4427</v>
      </c>
      <c r="B9" s="7" t="s">
        <v>4428</v>
      </c>
      <c r="C9" s="8">
        <v>1</v>
      </c>
      <c r="D9" s="9">
        <v>159.99</v>
      </c>
      <c r="E9" s="8">
        <v>81885</v>
      </c>
      <c r="F9" s="7" t="s">
        <v>3511</v>
      </c>
      <c r="G9" s="10"/>
      <c r="H9" s="7" t="s">
        <v>3478</v>
      </c>
      <c r="I9" s="7" t="s">
        <v>3479</v>
      </c>
      <c r="J9" s="7"/>
      <c r="K9" s="7"/>
      <c r="L9" s="11" t="str">
        <f>HYPERLINK("http://slimages.macys.com/is/image/MCY/17341405 ")</f>
        <v xml:space="preserve">http://slimages.macys.com/is/image/MCY/17341405 </v>
      </c>
    </row>
    <row r="10" spans="1:12" ht="39.950000000000003" customHeight="1" x14ac:dyDescent="0.25">
      <c r="A10" s="6" t="s">
        <v>4429</v>
      </c>
      <c r="B10" s="7" t="s">
        <v>4430</v>
      </c>
      <c r="C10" s="8">
        <v>1</v>
      </c>
      <c r="D10" s="9">
        <v>143.99</v>
      </c>
      <c r="E10" s="8" t="s">
        <v>4431</v>
      </c>
      <c r="F10" s="7" t="s">
        <v>3431</v>
      </c>
      <c r="G10" s="10"/>
      <c r="H10" s="7" t="s">
        <v>3478</v>
      </c>
      <c r="I10" s="7" t="s">
        <v>3553</v>
      </c>
      <c r="J10" s="7" t="s">
        <v>3426</v>
      </c>
      <c r="K10" s="7" t="s">
        <v>2452</v>
      </c>
      <c r="L10" s="11" t="str">
        <f>HYPERLINK("http://slimages.macys.com/is/image/MCY/11112467 ")</f>
        <v xml:space="preserve">http://slimages.macys.com/is/image/MCY/11112467 </v>
      </c>
    </row>
    <row r="11" spans="1:12" ht="39.950000000000003" customHeight="1" x14ac:dyDescent="0.25">
      <c r="A11" s="6" t="s">
        <v>2453</v>
      </c>
      <c r="B11" s="7" t="s">
        <v>2454</v>
      </c>
      <c r="C11" s="8">
        <v>1</v>
      </c>
      <c r="D11" s="9">
        <v>116.99</v>
      </c>
      <c r="E11" s="8" t="s">
        <v>2455</v>
      </c>
      <c r="F11" s="7" t="s">
        <v>3431</v>
      </c>
      <c r="G11" s="10"/>
      <c r="H11" s="7" t="s">
        <v>3478</v>
      </c>
      <c r="I11" s="7" t="s">
        <v>3553</v>
      </c>
      <c r="J11" s="7" t="s">
        <v>3426</v>
      </c>
      <c r="K11" s="7" t="s">
        <v>2456</v>
      </c>
      <c r="L11" s="11" t="str">
        <f>HYPERLINK("http://slimages.macys.com/is/image/MCY/9500083 ")</f>
        <v xml:space="preserve">http://slimages.macys.com/is/image/MCY/9500083 </v>
      </c>
    </row>
    <row r="12" spans="1:12" ht="39.950000000000003" customHeight="1" x14ac:dyDescent="0.25">
      <c r="A12" s="6" t="s">
        <v>2457</v>
      </c>
      <c r="B12" s="7" t="s">
        <v>2458</v>
      </c>
      <c r="C12" s="8">
        <v>1</v>
      </c>
      <c r="D12" s="9">
        <v>121.99</v>
      </c>
      <c r="E12" s="8" t="s">
        <v>2459</v>
      </c>
      <c r="F12" s="7" t="s">
        <v>3716</v>
      </c>
      <c r="G12" s="10"/>
      <c r="H12" s="7" t="s">
        <v>3478</v>
      </c>
      <c r="I12" s="7" t="s">
        <v>3553</v>
      </c>
      <c r="J12" s="7" t="s">
        <v>3426</v>
      </c>
      <c r="K12" s="7" t="s">
        <v>2460</v>
      </c>
      <c r="L12" s="11" t="str">
        <f>HYPERLINK("http://slimages.macys.com/is/image/MCY/11113434 ")</f>
        <v xml:space="preserve">http://slimages.macys.com/is/image/MCY/11113434 </v>
      </c>
    </row>
    <row r="13" spans="1:12" ht="39.950000000000003" customHeight="1" x14ac:dyDescent="0.25">
      <c r="A13" s="6" t="s">
        <v>2461</v>
      </c>
      <c r="B13" s="7" t="s">
        <v>2462</v>
      </c>
      <c r="C13" s="8">
        <v>1</v>
      </c>
      <c r="D13" s="9">
        <v>99.99</v>
      </c>
      <c r="E13" s="8" t="s">
        <v>2463</v>
      </c>
      <c r="F13" s="7" t="s">
        <v>3423</v>
      </c>
      <c r="G13" s="10"/>
      <c r="H13" s="7" t="s">
        <v>3478</v>
      </c>
      <c r="I13" s="7" t="s">
        <v>3553</v>
      </c>
      <c r="J13" s="7" t="s">
        <v>3426</v>
      </c>
      <c r="K13" s="7" t="s">
        <v>2464</v>
      </c>
      <c r="L13" s="11" t="str">
        <f>HYPERLINK("http://slimages.macys.com/is/image/MCY/9767708 ")</f>
        <v xml:space="preserve">http://slimages.macys.com/is/image/MCY/9767708 </v>
      </c>
    </row>
    <row r="14" spans="1:12" ht="39.950000000000003" customHeight="1" x14ac:dyDescent="0.25">
      <c r="A14" s="6" t="s">
        <v>2465</v>
      </c>
      <c r="B14" s="7" t="s">
        <v>2466</v>
      </c>
      <c r="C14" s="8">
        <v>2</v>
      </c>
      <c r="D14" s="9">
        <v>249.98</v>
      </c>
      <c r="E14" s="8" t="s">
        <v>2467</v>
      </c>
      <c r="F14" s="7" t="s">
        <v>3445</v>
      </c>
      <c r="G14" s="10" t="s">
        <v>3547</v>
      </c>
      <c r="H14" s="7" t="s">
        <v>3525</v>
      </c>
      <c r="I14" s="7" t="s">
        <v>3548</v>
      </c>
      <c r="J14" s="7" t="s">
        <v>3564</v>
      </c>
      <c r="K14" s="7" t="s">
        <v>3927</v>
      </c>
      <c r="L14" s="11" t="str">
        <f>HYPERLINK("http://slimages.macys.com/is/image/MCY/8589816 ")</f>
        <v xml:space="preserve">http://slimages.macys.com/is/image/MCY/8589816 </v>
      </c>
    </row>
    <row r="15" spans="1:12" ht="39.950000000000003" customHeight="1" x14ac:dyDescent="0.25">
      <c r="A15" s="6" t="s">
        <v>2468</v>
      </c>
      <c r="B15" s="7" t="s">
        <v>2469</v>
      </c>
      <c r="C15" s="8">
        <v>1</v>
      </c>
      <c r="D15" s="9">
        <v>97.99</v>
      </c>
      <c r="E15" s="8" t="s">
        <v>2470</v>
      </c>
      <c r="F15" s="7" t="s">
        <v>3755</v>
      </c>
      <c r="G15" s="10"/>
      <c r="H15" s="7" t="s">
        <v>2471</v>
      </c>
      <c r="I15" s="7" t="s">
        <v>3756</v>
      </c>
      <c r="J15" s="7" t="s">
        <v>3426</v>
      </c>
      <c r="K15" s="7" t="s">
        <v>3757</v>
      </c>
      <c r="L15" s="11" t="str">
        <f>HYPERLINK("http://slimages.macys.com/is/image/MCY/11798638 ")</f>
        <v xml:space="preserve">http://slimages.macys.com/is/image/MCY/11798638 </v>
      </c>
    </row>
    <row r="16" spans="1:12" ht="39.950000000000003" customHeight="1" x14ac:dyDescent="0.25">
      <c r="A16" s="6" t="s">
        <v>2472</v>
      </c>
      <c r="B16" s="7" t="s">
        <v>2473</v>
      </c>
      <c r="C16" s="8">
        <v>1</v>
      </c>
      <c r="D16" s="9">
        <v>149.99</v>
      </c>
      <c r="E16" s="8" t="s">
        <v>2474</v>
      </c>
      <c r="F16" s="7" t="s">
        <v>3445</v>
      </c>
      <c r="G16" s="10"/>
      <c r="H16" s="7" t="s">
        <v>3440</v>
      </c>
      <c r="I16" s="7" t="s">
        <v>4084</v>
      </c>
      <c r="J16" s="7" t="s">
        <v>3426</v>
      </c>
      <c r="K16" s="7" t="s">
        <v>3835</v>
      </c>
      <c r="L16" s="11" t="str">
        <f>HYPERLINK("http://slimages.macys.com/is/image/MCY/3573212 ")</f>
        <v xml:space="preserve">http://slimages.macys.com/is/image/MCY/3573212 </v>
      </c>
    </row>
    <row r="17" spans="1:12" ht="39.950000000000003" customHeight="1" x14ac:dyDescent="0.25">
      <c r="A17" s="6" t="s">
        <v>2475</v>
      </c>
      <c r="B17" s="7" t="s">
        <v>2476</v>
      </c>
      <c r="C17" s="8">
        <v>1</v>
      </c>
      <c r="D17" s="9">
        <v>99.99</v>
      </c>
      <c r="E17" s="8" t="s">
        <v>2477</v>
      </c>
      <c r="F17" s="7" t="s">
        <v>3431</v>
      </c>
      <c r="G17" s="10"/>
      <c r="H17" s="7" t="s">
        <v>3572</v>
      </c>
      <c r="I17" s="7" t="s">
        <v>2478</v>
      </c>
      <c r="J17" s="7" t="s">
        <v>3426</v>
      </c>
      <c r="K17" s="7"/>
      <c r="L17" s="11" t="str">
        <f>HYPERLINK("http://slimages.macys.com/is/image/MCY/16334131 ")</f>
        <v xml:space="preserve">http://slimages.macys.com/is/image/MCY/16334131 </v>
      </c>
    </row>
    <row r="18" spans="1:12" ht="39.950000000000003" customHeight="1" x14ac:dyDescent="0.25">
      <c r="A18" s="6" t="s">
        <v>2479</v>
      </c>
      <c r="B18" s="7" t="s">
        <v>2480</v>
      </c>
      <c r="C18" s="8">
        <v>1</v>
      </c>
      <c r="D18" s="9">
        <v>79.989999999999995</v>
      </c>
      <c r="E18" s="8" t="s">
        <v>2481</v>
      </c>
      <c r="F18" s="7" t="s">
        <v>2482</v>
      </c>
      <c r="G18" s="10"/>
      <c r="H18" s="7" t="s">
        <v>3490</v>
      </c>
      <c r="I18" s="7" t="s">
        <v>2483</v>
      </c>
      <c r="J18" s="7" t="s">
        <v>3426</v>
      </c>
      <c r="K18" s="7" t="s">
        <v>3518</v>
      </c>
      <c r="L18" s="11" t="str">
        <f>HYPERLINK("http://slimages.macys.com/is/image/MCY/8799838 ")</f>
        <v xml:space="preserve">http://slimages.macys.com/is/image/MCY/8799838 </v>
      </c>
    </row>
    <row r="19" spans="1:12" ht="39.950000000000003" customHeight="1" x14ac:dyDescent="0.25">
      <c r="A19" s="6" t="s">
        <v>2484</v>
      </c>
      <c r="B19" s="7" t="s">
        <v>2485</v>
      </c>
      <c r="C19" s="8">
        <v>1</v>
      </c>
      <c r="D19" s="9">
        <v>99.99</v>
      </c>
      <c r="E19" s="8" t="s">
        <v>2486</v>
      </c>
      <c r="F19" s="7" t="s">
        <v>3445</v>
      </c>
      <c r="G19" s="10" t="s">
        <v>3947</v>
      </c>
      <c r="H19" s="7" t="s">
        <v>3440</v>
      </c>
      <c r="I19" s="7" t="s">
        <v>3446</v>
      </c>
      <c r="J19" s="7" t="s">
        <v>3426</v>
      </c>
      <c r="K19" s="7" t="s">
        <v>3556</v>
      </c>
      <c r="L19" s="11" t="str">
        <f>HYPERLINK("http://slimages.macys.com/is/image/MCY/8820200 ")</f>
        <v xml:space="preserve">http://slimages.macys.com/is/image/MCY/8820200 </v>
      </c>
    </row>
    <row r="20" spans="1:12" ht="39.950000000000003" customHeight="1" x14ac:dyDescent="0.25">
      <c r="A20" s="6" t="s">
        <v>2487</v>
      </c>
      <c r="B20" s="7" t="s">
        <v>2488</v>
      </c>
      <c r="C20" s="8">
        <v>1</v>
      </c>
      <c r="D20" s="9">
        <v>77.989999999999995</v>
      </c>
      <c r="E20" s="8" t="s">
        <v>2489</v>
      </c>
      <c r="F20" s="7" t="s">
        <v>4096</v>
      </c>
      <c r="G20" s="10"/>
      <c r="H20" s="7" t="s">
        <v>3478</v>
      </c>
      <c r="I20" s="7" t="s">
        <v>3815</v>
      </c>
      <c r="J20" s="7" t="s">
        <v>3426</v>
      </c>
      <c r="K20" s="7" t="s">
        <v>2490</v>
      </c>
      <c r="L20" s="11" t="str">
        <f>HYPERLINK("http://slimages.macys.com/is/image/MCY/10005647 ")</f>
        <v xml:space="preserve">http://slimages.macys.com/is/image/MCY/10005647 </v>
      </c>
    </row>
    <row r="21" spans="1:12" ht="39.950000000000003" customHeight="1" x14ac:dyDescent="0.25">
      <c r="A21" s="6" t="s">
        <v>2491</v>
      </c>
      <c r="B21" s="7" t="s">
        <v>2492</v>
      </c>
      <c r="C21" s="8">
        <v>1</v>
      </c>
      <c r="D21" s="9">
        <v>119.99</v>
      </c>
      <c r="E21" s="8" t="s">
        <v>2493</v>
      </c>
      <c r="F21" s="7" t="s">
        <v>3687</v>
      </c>
      <c r="G21" s="10"/>
      <c r="H21" s="7" t="s">
        <v>3572</v>
      </c>
      <c r="I21" s="7" t="s">
        <v>3724</v>
      </c>
      <c r="J21" s="7" t="s">
        <v>3426</v>
      </c>
      <c r="K21" s="7" t="s">
        <v>2494</v>
      </c>
      <c r="L21" s="11" t="str">
        <f>HYPERLINK("http://slimages.macys.com/is/image/MCY/12072430 ")</f>
        <v xml:space="preserve">http://slimages.macys.com/is/image/MCY/12072430 </v>
      </c>
    </row>
    <row r="22" spans="1:12" ht="39.950000000000003" customHeight="1" x14ac:dyDescent="0.25">
      <c r="A22" s="6" t="s">
        <v>2495</v>
      </c>
      <c r="B22" s="7" t="s">
        <v>2496</v>
      </c>
      <c r="C22" s="8">
        <v>1</v>
      </c>
      <c r="D22" s="9">
        <v>49.99</v>
      </c>
      <c r="E22" s="8" t="s">
        <v>2497</v>
      </c>
      <c r="F22" s="7" t="s">
        <v>3431</v>
      </c>
      <c r="G22" s="10"/>
      <c r="H22" s="7" t="s">
        <v>3635</v>
      </c>
      <c r="I22" s="7" t="s">
        <v>3553</v>
      </c>
      <c r="J22" s="7" t="s">
        <v>3426</v>
      </c>
      <c r="K22" s="7"/>
      <c r="L22" s="11" t="str">
        <f>HYPERLINK("http://slimages.macys.com/is/image/MCY/9352125 ")</f>
        <v xml:space="preserve">http://slimages.macys.com/is/image/MCY/9352125 </v>
      </c>
    </row>
    <row r="23" spans="1:12" ht="39.950000000000003" customHeight="1" x14ac:dyDescent="0.25">
      <c r="A23" s="6" t="s">
        <v>2498</v>
      </c>
      <c r="B23" s="7" t="s">
        <v>2499</v>
      </c>
      <c r="C23" s="8">
        <v>1</v>
      </c>
      <c r="D23" s="9">
        <v>49.99</v>
      </c>
      <c r="E23" s="8" t="s">
        <v>2500</v>
      </c>
      <c r="F23" s="7" t="s">
        <v>3755</v>
      </c>
      <c r="G23" s="10"/>
      <c r="H23" s="7" t="s">
        <v>3542</v>
      </c>
      <c r="I23" s="7" t="s">
        <v>4234</v>
      </c>
      <c r="J23" s="7" t="s">
        <v>3426</v>
      </c>
      <c r="K23" s="7"/>
      <c r="L23" s="11" t="str">
        <f>HYPERLINK("http://slimages.macys.com/is/image/MCY/12658743 ")</f>
        <v xml:space="preserve">http://slimages.macys.com/is/image/MCY/12658743 </v>
      </c>
    </row>
    <row r="24" spans="1:12" ht="39.950000000000003" customHeight="1" x14ac:dyDescent="0.25">
      <c r="A24" s="6" t="s">
        <v>2501</v>
      </c>
      <c r="B24" s="7" t="s">
        <v>2502</v>
      </c>
      <c r="C24" s="8">
        <v>1</v>
      </c>
      <c r="D24" s="9">
        <v>68.989999999999995</v>
      </c>
      <c r="E24" s="8">
        <v>80705</v>
      </c>
      <c r="F24" s="7" t="s">
        <v>3445</v>
      </c>
      <c r="G24" s="10" t="s">
        <v>2503</v>
      </c>
      <c r="H24" s="7" t="s">
        <v>3559</v>
      </c>
      <c r="I24" s="7" t="s">
        <v>3560</v>
      </c>
      <c r="J24" s="7"/>
      <c r="K24" s="7"/>
      <c r="L24" s="11" t="str">
        <f>HYPERLINK("http://slimages.macys.com/is/image/MCY/17085890 ")</f>
        <v xml:space="preserve">http://slimages.macys.com/is/image/MCY/17085890 </v>
      </c>
    </row>
    <row r="25" spans="1:12" ht="39.950000000000003" customHeight="1" x14ac:dyDescent="0.25">
      <c r="A25" s="6" t="s">
        <v>2504</v>
      </c>
      <c r="B25" s="7" t="s">
        <v>2505</v>
      </c>
      <c r="C25" s="8">
        <v>1</v>
      </c>
      <c r="D25" s="9">
        <v>49.99</v>
      </c>
      <c r="E25" s="8" t="s">
        <v>2506</v>
      </c>
      <c r="F25" s="7" t="s">
        <v>3496</v>
      </c>
      <c r="G25" s="10"/>
      <c r="H25" s="7" t="s">
        <v>3452</v>
      </c>
      <c r="I25" s="7" t="s">
        <v>3834</v>
      </c>
      <c r="J25" s="7" t="s">
        <v>3426</v>
      </c>
      <c r="K25" s="7" t="s">
        <v>3556</v>
      </c>
      <c r="L25" s="11" t="str">
        <f>HYPERLINK("http://slimages.macys.com/is/image/MCY/17754899 ")</f>
        <v xml:space="preserve">http://slimages.macys.com/is/image/MCY/17754899 </v>
      </c>
    </row>
    <row r="26" spans="1:12" ht="39.950000000000003" customHeight="1" x14ac:dyDescent="0.25">
      <c r="A26" s="6" t="s">
        <v>2507</v>
      </c>
      <c r="B26" s="7" t="s">
        <v>2508</v>
      </c>
      <c r="C26" s="8">
        <v>1</v>
      </c>
      <c r="D26" s="9">
        <v>49.99</v>
      </c>
      <c r="E26" s="8" t="s">
        <v>2509</v>
      </c>
      <c r="F26" s="7" t="s">
        <v>3511</v>
      </c>
      <c r="G26" s="10"/>
      <c r="H26" s="7" t="s">
        <v>3542</v>
      </c>
      <c r="I26" s="7" t="s">
        <v>4234</v>
      </c>
      <c r="J26" s="7"/>
      <c r="K26" s="7"/>
      <c r="L26" s="11" t="str">
        <f>HYPERLINK("http://slimages.macys.com/is/image/MCY/17968749 ")</f>
        <v xml:space="preserve">http://slimages.macys.com/is/image/MCY/17968749 </v>
      </c>
    </row>
    <row r="27" spans="1:12" ht="39.950000000000003" customHeight="1" x14ac:dyDescent="0.25">
      <c r="A27" s="6" t="s">
        <v>2510</v>
      </c>
      <c r="B27" s="7" t="s">
        <v>2511</v>
      </c>
      <c r="C27" s="8">
        <v>1</v>
      </c>
      <c r="D27" s="9">
        <v>59.99</v>
      </c>
      <c r="E27" s="8">
        <v>100070924</v>
      </c>
      <c r="F27" s="7" t="s">
        <v>3892</v>
      </c>
      <c r="G27" s="10" t="s">
        <v>3512</v>
      </c>
      <c r="H27" s="7" t="s">
        <v>3452</v>
      </c>
      <c r="I27" s="7" t="s">
        <v>3453</v>
      </c>
      <c r="J27" s="7" t="s">
        <v>3426</v>
      </c>
      <c r="K27" s="7"/>
      <c r="L27" s="11" t="str">
        <f>HYPERLINK("http://slimages.macys.com/is/image/MCY/15105813 ")</f>
        <v xml:space="preserve">http://slimages.macys.com/is/image/MCY/15105813 </v>
      </c>
    </row>
    <row r="28" spans="1:12" ht="39.950000000000003" customHeight="1" x14ac:dyDescent="0.25">
      <c r="A28" s="6" t="s">
        <v>2512</v>
      </c>
      <c r="B28" s="7" t="s">
        <v>2513</v>
      </c>
      <c r="C28" s="8">
        <v>1</v>
      </c>
      <c r="D28" s="9">
        <v>99.99</v>
      </c>
      <c r="E28" s="8" t="s">
        <v>2514</v>
      </c>
      <c r="F28" s="7" t="s">
        <v>3496</v>
      </c>
      <c r="G28" s="10"/>
      <c r="H28" s="7" t="s">
        <v>3572</v>
      </c>
      <c r="I28" s="7" t="s">
        <v>2478</v>
      </c>
      <c r="J28" s="7"/>
      <c r="K28" s="7"/>
      <c r="L28" s="11" t="str">
        <f>HYPERLINK("http://slimages.macys.com/is/image/MCY/957575 ")</f>
        <v xml:space="preserve">http://slimages.macys.com/is/image/MCY/957575 </v>
      </c>
    </row>
    <row r="29" spans="1:12" ht="39.950000000000003" customHeight="1" x14ac:dyDescent="0.25">
      <c r="A29" s="6" t="s">
        <v>2515</v>
      </c>
      <c r="B29" s="7" t="s">
        <v>2516</v>
      </c>
      <c r="C29" s="8">
        <v>1</v>
      </c>
      <c r="D29" s="9">
        <v>39.99</v>
      </c>
      <c r="E29" s="8" t="s">
        <v>2517</v>
      </c>
      <c r="F29" s="7" t="s">
        <v>3438</v>
      </c>
      <c r="G29" s="10"/>
      <c r="H29" s="7" t="s">
        <v>3467</v>
      </c>
      <c r="I29" s="7" t="s">
        <v>4135</v>
      </c>
      <c r="J29" s="7" t="s">
        <v>3426</v>
      </c>
      <c r="K29" s="7"/>
      <c r="L29" s="11" t="str">
        <f>HYPERLINK("http://slimages.macys.com/is/image/MCY/9109953 ")</f>
        <v xml:space="preserve">http://slimages.macys.com/is/image/MCY/9109953 </v>
      </c>
    </row>
    <row r="30" spans="1:12" ht="39.950000000000003" customHeight="1" x14ac:dyDescent="0.25">
      <c r="A30" s="6" t="s">
        <v>2518</v>
      </c>
      <c r="B30" s="7" t="s">
        <v>2519</v>
      </c>
      <c r="C30" s="8">
        <v>1</v>
      </c>
      <c r="D30" s="9">
        <v>49.99</v>
      </c>
      <c r="E30" s="8" t="s">
        <v>2520</v>
      </c>
      <c r="F30" s="7" t="s">
        <v>3477</v>
      </c>
      <c r="G30" s="10"/>
      <c r="H30" s="7" t="s">
        <v>3542</v>
      </c>
      <c r="I30" s="7" t="s">
        <v>4234</v>
      </c>
      <c r="J30" s="7"/>
      <c r="K30" s="7"/>
      <c r="L30" s="11" t="str">
        <f>HYPERLINK("http://slimages.macys.com/is/image/MCY/17968749 ")</f>
        <v xml:space="preserve">http://slimages.macys.com/is/image/MCY/17968749 </v>
      </c>
    </row>
    <row r="31" spans="1:12" ht="39.950000000000003" customHeight="1" x14ac:dyDescent="0.25">
      <c r="A31" s="6" t="s">
        <v>2521</v>
      </c>
      <c r="B31" s="7" t="s">
        <v>2522</v>
      </c>
      <c r="C31" s="8">
        <v>1</v>
      </c>
      <c r="D31" s="9">
        <v>49.99</v>
      </c>
      <c r="E31" s="8" t="s">
        <v>2523</v>
      </c>
      <c r="F31" s="7" t="s">
        <v>3445</v>
      </c>
      <c r="G31" s="10"/>
      <c r="H31" s="7" t="s">
        <v>3478</v>
      </c>
      <c r="I31" s="7" t="s">
        <v>3517</v>
      </c>
      <c r="J31" s="7" t="s">
        <v>3426</v>
      </c>
      <c r="K31" s="7" t="s">
        <v>3592</v>
      </c>
      <c r="L31" s="11" t="str">
        <f>HYPERLINK("http://slimages.macys.com/is/image/MCY/9330026 ")</f>
        <v xml:space="preserve">http://slimages.macys.com/is/image/MCY/9330026 </v>
      </c>
    </row>
    <row r="32" spans="1:12" ht="39.950000000000003" customHeight="1" x14ac:dyDescent="0.25">
      <c r="A32" s="6" t="s">
        <v>2524</v>
      </c>
      <c r="B32" s="7" t="s">
        <v>2525</v>
      </c>
      <c r="C32" s="8">
        <v>1</v>
      </c>
      <c r="D32" s="9">
        <v>36.99</v>
      </c>
      <c r="E32" s="8" t="s">
        <v>2526</v>
      </c>
      <c r="F32" s="7" t="s">
        <v>4325</v>
      </c>
      <c r="G32" s="10" t="s">
        <v>3489</v>
      </c>
      <c r="H32" s="7" t="s">
        <v>3490</v>
      </c>
      <c r="I32" s="7" t="s">
        <v>3943</v>
      </c>
      <c r="J32" s="7" t="s">
        <v>3426</v>
      </c>
      <c r="K32" s="7" t="s">
        <v>3518</v>
      </c>
      <c r="L32" s="11" t="str">
        <f>HYPERLINK("http://slimages.macys.com/is/image/MCY/9175647 ")</f>
        <v xml:space="preserve">http://slimages.macys.com/is/image/MCY/9175647 </v>
      </c>
    </row>
    <row r="33" spans="1:12" ht="39.950000000000003" customHeight="1" x14ac:dyDescent="0.25">
      <c r="A33" s="6" t="s">
        <v>2527</v>
      </c>
      <c r="B33" s="7" t="s">
        <v>2528</v>
      </c>
      <c r="C33" s="8">
        <v>2</v>
      </c>
      <c r="D33" s="9">
        <v>83.98</v>
      </c>
      <c r="E33" s="8" t="s">
        <v>2529</v>
      </c>
      <c r="F33" s="7" t="s">
        <v>3445</v>
      </c>
      <c r="G33" s="10" t="s">
        <v>3489</v>
      </c>
      <c r="H33" s="7" t="s">
        <v>3490</v>
      </c>
      <c r="I33" s="7" t="s">
        <v>2530</v>
      </c>
      <c r="J33" s="7" t="s">
        <v>3426</v>
      </c>
      <c r="K33" s="7" t="s">
        <v>3811</v>
      </c>
      <c r="L33" s="11" t="str">
        <f>HYPERLINK("http://slimages.macys.com/is/image/MCY/11829914 ")</f>
        <v xml:space="preserve">http://slimages.macys.com/is/image/MCY/11829914 </v>
      </c>
    </row>
    <row r="34" spans="1:12" ht="39.950000000000003" customHeight="1" x14ac:dyDescent="0.25">
      <c r="A34" s="6" t="s">
        <v>2531</v>
      </c>
      <c r="B34" s="7" t="s">
        <v>2532</v>
      </c>
      <c r="C34" s="8">
        <v>1</v>
      </c>
      <c r="D34" s="9">
        <v>31.99</v>
      </c>
      <c r="E34" s="8" t="s">
        <v>2533</v>
      </c>
      <c r="F34" s="7" t="s">
        <v>3687</v>
      </c>
      <c r="G34" s="10"/>
      <c r="H34" s="7" t="s">
        <v>3490</v>
      </c>
      <c r="I34" s="7" t="s">
        <v>3553</v>
      </c>
      <c r="J34" s="7" t="s">
        <v>3426</v>
      </c>
      <c r="K34" s="7"/>
      <c r="L34" s="11" t="str">
        <f>HYPERLINK("http://slimages.macys.com/is/image/MCY/9911829 ")</f>
        <v xml:space="preserve">http://slimages.macys.com/is/image/MCY/9911829 </v>
      </c>
    </row>
    <row r="35" spans="1:12" ht="39.950000000000003" customHeight="1" x14ac:dyDescent="0.25">
      <c r="A35" s="6" t="s">
        <v>2534</v>
      </c>
      <c r="B35" s="7" t="s">
        <v>2535</v>
      </c>
      <c r="C35" s="8">
        <v>2</v>
      </c>
      <c r="D35" s="9">
        <v>59.98</v>
      </c>
      <c r="E35" s="8">
        <v>1005863900</v>
      </c>
      <c r="F35" s="7" t="s">
        <v>3431</v>
      </c>
      <c r="G35" s="10" t="s">
        <v>3653</v>
      </c>
      <c r="H35" s="7" t="s">
        <v>3654</v>
      </c>
      <c r="I35" s="7" t="s">
        <v>3655</v>
      </c>
      <c r="J35" s="7" t="s">
        <v>3426</v>
      </c>
      <c r="K35" s="7" t="s">
        <v>3835</v>
      </c>
      <c r="L35" s="11" t="str">
        <f>HYPERLINK("http://slimages.macys.com/is/image/MCY/13611442 ")</f>
        <v xml:space="preserve">http://slimages.macys.com/is/image/MCY/13611442 </v>
      </c>
    </row>
    <row r="36" spans="1:12" ht="39.950000000000003" customHeight="1" x14ac:dyDescent="0.25">
      <c r="A36" s="6" t="s">
        <v>2536</v>
      </c>
      <c r="B36" s="7" t="s">
        <v>2537</v>
      </c>
      <c r="C36" s="8">
        <v>5</v>
      </c>
      <c r="D36" s="9">
        <v>154.94999999999999</v>
      </c>
      <c r="E36" s="8" t="s">
        <v>2538</v>
      </c>
      <c r="F36" s="7" t="s">
        <v>3445</v>
      </c>
      <c r="G36" s="10"/>
      <c r="H36" s="7" t="s">
        <v>3490</v>
      </c>
      <c r="I36" s="7" t="s">
        <v>3553</v>
      </c>
      <c r="J36" s="7" t="s">
        <v>3426</v>
      </c>
      <c r="K36" s="7" t="s">
        <v>3518</v>
      </c>
      <c r="L36" s="11" t="str">
        <f>HYPERLINK("http://slimages.macys.com/is/image/MCY/8152741 ")</f>
        <v xml:space="preserve">http://slimages.macys.com/is/image/MCY/8152741 </v>
      </c>
    </row>
    <row r="37" spans="1:12" ht="39.950000000000003" customHeight="1" x14ac:dyDescent="0.25">
      <c r="A37" s="6" t="s">
        <v>2539</v>
      </c>
      <c r="B37" s="7" t="s">
        <v>2540</v>
      </c>
      <c r="C37" s="8">
        <v>1</v>
      </c>
      <c r="D37" s="9">
        <v>29.99</v>
      </c>
      <c r="E37" s="8" t="s">
        <v>2541</v>
      </c>
      <c r="F37" s="7" t="s">
        <v>3755</v>
      </c>
      <c r="G37" s="10"/>
      <c r="H37" s="7" t="s">
        <v>3478</v>
      </c>
      <c r="I37" s="7" t="s">
        <v>3815</v>
      </c>
      <c r="J37" s="7" t="s">
        <v>3426</v>
      </c>
      <c r="K37" s="7" t="s">
        <v>3518</v>
      </c>
      <c r="L37" s="11" t="str">
        <f>HYPERLINK("http://slimages.macys.com/is/image/MCY/10652381 ")</f>
        <v xml:space="preserve">http://slimages.macys.com/is/image/MCY/10652381 </v>
      </c>
    </row>
    <row r="38" spans="1:12" ht="39.950000000000003" customHeight="1" x14ac:dyDescent="0.25">
      <c r="A38" s="6" t="s">
        <v>2542</v>
      </c>
      <c r="B38" s="7" t="s">
        <v>2543</v>
      </c>
      <c r="C38" s="8">
        <v>1</v>
      </c>
      <c r="D38" s="9">
        <v>24.99</v>
      </c>
      <c r="E38" s="8">
        <v>1008967300</v>
      </c>
      <c r="F38" s="7" t="s">
        <v>3463</v>
      </c>
      <c r="G38" s="10"/>
      <c r="H38" s="7" t="s">
        <v>3654</v>
      </c>
      <c r="I38" s="7" t="s">
        <v>2544</v>
      </c>
      <c r="J38" s="7" t="s">
        <v>3426</v>
      </c>
      <c r="K38" s="7" t="s">
        <v>2545</v>
      </c>
      <c r="L38" s="11" t="str">
        <f>HYPERLINK("http://slimages.macys.com/is/image/MCY/15300934 ")</f>
        <v xml:space="preserve">http://slimages.macys.com/is/image/MCY/15300934 </v>
      </c>
    </row>
    <row r="39" spans="1:12" ht="39.950000000000003" customHeight="1" x14ac:dyDescent="0.25">
      <c r="A39" s="6" t="s">
        <v>2546</v>
      </c>
      <c r="B39" s="7" t="s">
        <v>2547</v>
      </c>
      <c r="C39" s="8">
        <v>1</v>
      </c>
      <c r="D39" s="9">
        <v>29.99</v>
      </c>
      <c r="E39" s="8" t="s">
        <v>2548</v>
      </c>
      <c r="F39" s="7" t="s">
        <v>3804</v>
      </c>
      <c r="G39" s="10" t="s">
        <v>3489</v>
      </c>
      <c r="H39" s="7" t="s">
        <v>3432</v>
      </c>
      <c r="I39" s="7" t="s">
        <v>4119</v>
      </c>
      <c r="J39" s="7" t="s">
        <v>3426</v>
      </c>
      <c r="K39" s="7" t="s">
        <v>3518</v>
      </c>
      <c r="L39" s="11" t="str">
        <f>HYPERLINK("http://slimages.macys.com/is/image/MCY/8589764 ")</f>
        <v xml:space="preserve">http://slimages.macys.com/is/image/MCY/8589764 </v>
      </c>
    </row>
    <row r="40" spans="1:12" ht="39.950000000000003" customHeight="1" x14ac:dyDescent="0.25">
      <c r="A40" s="6" t="s">
        <v>2549</v>
      </c>
      <c r="B40" s="7" t="s">
        <v>2550</v>
      </c>
      <c r="C40" s="8">
        <v>1</v>
      </c>
      <c r="D40" s="9">
        <v>22.99</v>
      </c>
      <c r="E40" s="8" t="s">
        <v>2551</v>
      </c>
      <c r="F40" s="7" t="s">
        <v>2552</v>
      </c>
      <c r="G40" s="10" t="s">
        <v>3489</v>
      </c>
      <c r="H40" s="7" t="s">
        <v>3490</v>
      </c>
      <c r="I40" s="7" t="s">
        <v>4119</v>
      </c>
      <c r="J40" s="7" t="s">
        <v>3426</v>
      </c>
      <c r="K40" s="7" t="s">
        <v>3816</v>
      </c>
      <c r="L40" s="11" t="str">
        <f>HYPERLINK("http://slimages.macys.com/is/image/MCY/9729210 ")</f>
        <v xml:space="preserve">http://slimages.macys.com/is/image/MCY/9729210 </v>
      </c>
    </row>
    <row r="41" spans="1:12" ht="39.950000000000003" customHeight="1" x14ac:dyDescent="0.25">
      <c r="A41" s="6" t="s">
        <v>2553</v>
      </c>
      <c r="B41" s="7" t="s">
        <v>2554</v>
      </c>
      <c r="C41" s="8">
        <v>1</v>
      </c>
      <c r="D41" s="9">
        <v>16.989999999999998</v>
      </c>
      <c r="E41" s="8" t="s">
        <v>2555</v>
      </c>
      <c r="F41" s="7" t="s">
        <v>4325</v>
      </c>
      <c r="G41" s="10" t="s">
        <v>3489</v>
      </c>
      <c r="H41" s="7" t="s">
        <v>3490</v>
      </c>
      <c r="I41" s="7" t="s">
        <v>3943</v>
      </c>
      <c r="J41" s="7" t="s">
        <v>3426</v>
      </c>
      <c r="K41" s="7" t="s">
        <v>3518</v>
      </c>
      <c r="L41" s="11" t="str">
        <f>HYPERLINK("http://slimages.macys.com/is/image/MCY/3881721 ")</f>
        <v xml:space="preserve">http://slimages.macys.com/is/image/MCY/3881721 </v>
      </c>
    </row>
    <row r="42" spans="1:12" ht="39.950000000000003" customHeight="1" x14ac:dyDescent="0.25">
      <c r="A42" s="6" t="s">
        <v>2556</v>
      </c>
      <c r="B42" s="7" t="s">
        <v>2557</v>
      </c>
      <c r="C42" s="8">
        <v>3</v>
      </c>
      <c r="D42" s="9">
        <v>56.97</v>
      </c>
      <c r="E42" s="8" t="s">
        <v>2558</v>
      </c>
      <c r="F42" s="7" t="s">
        <v>2559</v>
      </c>
      <c r="G42" s="10"/>
      <c r="H42" s="7" t="s">
        <v>3490</v>
      </c>
      <c r="I42" s="7" t="s">
        <v>3734</v>
      </c>
      <c r="J42" s="7" t="s">
        <v>3426</v>
      </c>
      <c r="K42" s="7"/>
      <c r="L42" s="11" t="str">
        <f>HYPERLINK("http://slimages.macys.com/is/image/MCY/8757507 ")</f>
        <v xml:space="preserve">http://slimages.macys.com/is/image/MCY/8757507 </v>
      </c>
    </row>
    <row r="43" spans="1:12" ht="39.950000000000003" customHeight="1" x14ac:dyDescent="0.25">
      <c r="A43" s="6" t="s">
        <v>2560</v>
      </c>
      <c r="B43" s="7" t="s">
        <v>2561</v>
      </c>
      <c r="C43" s="8">
        <v>1</v>
      </c>
      <c r="D43" s="9">
        <v>18.989999999999998</v>
      </c>
      <c r="E43" s="8" t="s">
        <v>4200</v>
      </c>
      <c r="F43" s="7" t="s">
        <v>3463</v>
      </c>
      <c r="G43" s="10"/>
      <c r="H43" s="7" t="s">
        <v>3542</v>
      </c>
      <c r="I43" s="7" t="s">
        <v>3829</v>
      </c>
      <c r="J43" s="7" t="s">
        <v>3426</v>
      </c>
      <c r="K43" s="7" t="s">
        <v>3518</v>
      </c>
      <c r="L43" s="11" t="str">
        <f>HYPERLINK("http://slimages.macys.com/is/image/MCY/3153811 ")</f>
        <v xml:space="preserve">http://slimages.macys.com/is/image/MCY/3153811 </v>
      </c>
    </row>
    <row r="44" spans="1:12" ht="39.950000000000003" customHeight="1" x14ac:dyDescent="0.25">
      <c r="A44" s="6" t="s">
        <v>2562</v>
      </c>
      <c r="B44" s="7" t="s">
        <v>2563</v>
      </c>
      <c r="C44" s="8">
        <v>1</v>
      </c>
      <c r="D44" s="9">
        <v>19.989999999999998</v>
      </c>
      <c r="E44" s="8" t="s">
        <v>2564</v>
      </c>
      <c r="F44" s="7" t="s">
        <v>3431</v>
      </c>
      <c r="G44" s="10" t="s">
        <v>3489</v>
      </c>
      <c r="H44" s="7" t="s">
        <v>3525</v>
      </c>
      <c r="I44" s="7" t="s">
        <v>2565</v>
      </c>
      <c r="J44" s="7" t="s">
        <v>3613</v>
      </c>
      <c r="K44" s="7" t="s">
        <v>3811</v>
      </c>
      <c r="L44" s="11" t="str">
        <f>HYPERLINK("http://images.bloomingdales.com/is/image/BLM/11133770 ")</f>
        <v xml:space="preserve">http://images.bloomingdales.com/is/image/BLM/11133770 </v>
      </c>
    </row>
    <row r="45" spans="1:12" ht="39.950000000000003" customHeight="1" x14ac:dyDescent="0.25">
      <c r="A45" s="6" t="s">
        <v>2566</v>
      </c>
      <c r="B45" s="7" t="s">
        <v>2567</v>
      </c>
      <c r="C45" s="8">
        <v>1</v>
      </c>
      <c r="D45" s="9">
        <v>19.989999999999998</v>
      </c>
      <c r="E45" s="8" t="s">
        <v>2568</v>
      </c>
      <c r="F45" s="7" t="s">
        <v>3832</v>
      </c>
      <c r="G45" s="10" t="s">
        <v>3489</v>
      </c>
      <c r="H45" s="7" t="s">
        <v>3525</v>
      </c>
      <c r="I45" s="7" t="s">
        <v>2565</v>
      </c>
      <c r="J45" s="7" t="s">
        <v>3613</v>
      </c>
      <c r="K45" s="7" t="s">
        <v>3811</v>
      </c>
      <c r="L45" s="11" t="str">
        <f>HYPERLINK("http://images.bloomingdales.com/is/image/BLM/11133770 ")</f>
        <v xml:space="preserve">http://images.bloomingdales.com/is/image/BLM/11133770 </v>
      </c>
    </row>
    <row r="46" spans="1:12" ht="39.950000000000003" customHeight="1" x14ac:dyDescent="0.25">
      <c r="A46" s="6" t="s">
        <v>2569</v>
      </c>
      <c r="B46" s="7" t="s">
        <v>2570</v>
      </c>
      <c r="C46" s="8">
        <v>1</v>
      </c>
      <c r="D46" s="9">
        <v>19.989999999999998</v>
      </c>
      <c r="E46" s="8" t="s">
        <v>2571</v>
      </c>
      <c r="F46" s="7"/>
      <c r="G46" s="10"/>
      <c r="H46" s="7" t="s">
        <v>3478</v>
      </c>
      <c r="I46" s="7" t="s">
        <v>2572</v>
      </c>
      <c r="J46" s="7" t="s">
        <v>3426</v>
      </c>
      <c r="K46" s="7" t="s">
        <v>3518</v>
      </c>
      <c r="L46" s="11" t="str">
        <f>HYPERLINK("http://slimages.macys.com/is/image/MCY/15575450 ")</f>
        <v xml:space="preserve">http://slimages.macys.com/is/image/MCY/15575450 </v>
      </c>
    </row>
    <row r="47" spans="1:12" ht="39.950000000000003" customHeight="1" x14ac:dyDescent="0.25">
      <c r="A47" s="6" t="s">
        <v>2573</v>
      </c>
      <c r="B47" s="7" t="s">
        <v>2574</v>
      </c>
      <c r="C47" s="8">
        <v>1</v>
      </c>
      <c r="D47" s="9">
        <v>16.989999999999998</v>
      </c>
      <c r="E47" s="8">
        <v>202007</v>
      </c>
      <c r="F47" s="7" t="s">
        <v>3445</v>
      </c>
      <c r="G47" s="10"/>
      <c r="H47" s="7" t="s">
        <v>3559</v>
      </c>
      <c r="I47" s="7" t="s">
        <v>2575</v>
      </c>
      <c r="J47" s="7" t="s">
        <v>3426</v>
      </c>
      <c r="K47" s="7" t="s">
        <v>2576</v>
      </c>
      <c r="L47" s="11" t="str">
        <f>HYPERLINK("http://slimages.macys.com/is/image/MCY/16053943 ")</f>
        <v xml:space="preserve">http://slimages.macys.com/is/image/MCY/16053943 </v>
      </c>
    </row>
    <row r="48" spans="1:12" ht="39.950000000000003" customHeight="1" x14ac:dyDescent="0.25">
      <c r="A48" s="6" t="s">
        <v>2577</v>
      </c>
      <c r="B48" s="7" t="s">
        <v>2578</v>
      </c>
      <c r="C48" s="8">
        <v>1</v>
      </c>
      <c r="D48" s="9">
        <v>19.989999999999998</v>
      </c>
      <c r="E48" s="8">
        <v>100074841</v>
      </c>
      <c r="F48" s="7" t="s">
        <v>4304</v>
      </c>
      <c r="G48" s="10"/>
      <c r="H48" s="7" t="s">
        <v>3513</v>
      </c>
      <c r="I48" s="7" t="s">
        <v>2579</v>
      </c>
      <c r="J48" s="7"/>
      <c r="K48" s="7"/>
      <c r="L48" s="11" t="str">
        <f>HYPERLINK("http://slimages.macys.com/is/image/MCY/17902244 ")</f>
        <v xml:space="preserve">http://slimages.macys.com/is/image/MCY/17902244 </v>
      </c>
    </row>
    <row r="49" spans="1:12" ht="39.950000000000003" customHeight="1" x14ac:dyDescent="0.25">
      <c r="A49" s="6" t="s">
        <v>2580</v>
      </c>
      <c r="B49" s="7" t="s">
        <v>2581</v>
      </c>
      <c r="C49" s="8">
        <v>1</v>
      </c>
      <c r="D49" s="9">
        <v>39.99</v>
      </c>
      <c r="E49" s="8" t="s">
        <v>2582</v>
      </c>
      <c r="F49" s="7" t="s">
        <v>3451</v>
      </c>
      <c r="G49" s="10"/>
      <c r="H49" s="7" t="s">
        <v>3458</v>
      </c>
      <c r="I49" s="7" t="s">
        <v>3459</v>
      </c>
      <c r="J49" s="7" t="s">
        <v>3426</v>
      </c>
      <c r="K49" s="7"/>
      <c r="L49" s="11" t="str">
        <f>HYPERLINK("http://slimages.macys.com/is/image/MCY/8433239 ")</f>
        <v xml:space="preserve">http://slimages.macys.com/is/image/MCY/8433239 </v>
      </c>
    </row>
    <row r="50" spans="1:12" ht="39.950000000000003" customHeight="1" x14ac:dyDescent="0.25">
      <c r="A50" s="6" t="s">
        <v>2583</v>
      </c>
      <c r="B50" s="7" t="s">
        <v>2584</v>
      </c>
      <c r="C50" s="8">
        <v>1</v>
      </c>
      <c r="D50" s="9">
        <v>24.99</v>
      </c>
      <c r="E50" s="8" t="s">
        <v>2585</v>
      </c>
      <c r="F50" s="7" t="s">
        <v>3610</v>
      </c>
      <c r="G50" s="10" t="s">
        <v>3489</v>
      </c>
      <c r="H50" s="7" t="s">
        <v>3583</v>
      </c>
      <c r="I50" s="7" t="s">
        <v>3824</v>
      </c>
      <c r="J50" s="7" t="s">
        <v>3426</v>
      </c>
      <c r="K50" s="7" t="s">
        <v>2586</v>
      </c>
      <c r="L50" s="11" t="str">
        <f>HYPERLINK("http://slimages.macys.com/is/image/MCY/1819594 ")</f>
        <v xml:space="preserve">http://slimages.macys.com/is/image/MCY/1819594 </v>
      </c>
    </row>
    <row r="51" spans="1:12" ht="39.950000000000003" customHeight="1" x14ac:dyDescent="0.25">
      <c r="A51" s="6" t="s">
        <v>2587</v>
      </c>
      <c r="B51" s="7" t="s">
        <v>2588</v>
      </c>
      <c r="C51" s="8">
        <v>1</v>
      </c>
      <c r="D51" s="9">
        <v>3.99</v>
      </c>
      <c r="E51" s="8" t="s">
        <v>2589</v>
      </c>
      <c r="F51" s="7" t="s">
        <v>3687</v>
      </c>
      <c r="G51" s="10" t="s">
        <v>3653</v>
      </c>
      <c r="H51" s="7" t="s">
        <v>3635</v>
      </c>
      <c r="I51" s="7" t="s">
        <v>3517</v>
      </c>
      <c r="J51" s="7" t="s">
        <v>3426</v>
      </c>
      <c r="K51" s="7"/>
      <c r="L51" s="11" t="str">
        <f>HYPERLINK("http://slimages.macys.com/is/image/MCY/13909845 ")</f>
        <v xml:space="preserve">http://slimages.macys.com/is/image/MCY/13909845 </v>
      </c>
    </row>
    <row r="52" spans="1:12" ht="39.950000000000003" customHeight="1" x14ac:dyDescent="0.25">
      <c r="A52" s="6" t="s">
        <v>3667</v>
      </c>
      <c r="B52" s="7" t="s">
        <v>3668</v>
      </c>
      <c r="C52" s="8">
        <v>3</v>
      </c>
      <c r="D52" s="9">
        <v>120</v>
      </c>
      <c r="E52" s="8"/>
      <c r="F52" s="7" t="s">
        <v>3610</v>
      </c>
      <c r="G52" s="10" t="s">
        <v>3489</v>
      </c>
      <c r="H52" s="7" t="s">
        <v>3669</v>
      </c>
      <c r="I52" s="7" t="s">
        <v>3670</v>
      </c>
      <c r="J52" s="7"/>
      <c r="K52" s="7"/>
      <c r="L52" s="11"/>
    </row>
    <row r="53" spans="1:12" ht="39.950000000000003" customHeight="1" x14ac:dyDescent="0.25">
      <c r="A53" s="6" t="s">
        <v>2590</v>
      </c>
      <c r="B53" s="7" t="s">
        <v>2591</v>
      </c>
      <c r="C53" s="8">
        <v>1</v>
      </c>
      <c r="D53" s="9">
        <v>14.99</v>
      </c>
      <c r="E53" s="8" t="s">
        <v>2592</v>
      </c>
      <c r="F53" s="7"/>
      <c r="G53" s="10"/>
      <c r="H53" s="7" t="s">
        <v>3478</v>
      </c>
      <c r="I53" s="7" t="s">
        <v>2572</v>
      </c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2593</v>
      </c>
      <c r="B2" s="7" t="s">
        <v>2594</v>
      </c>
      <c r="C2" s="8">
        <v>1</v>
      </c>
      <c r="D2" s="9">
        <v>499.99</v>
      </c>
      <c r="E2" s="8" t="s">
        <v>2595</v>
      </c>
      <c r="F2" s="7" t="s">
        <v>3445</v>
      </c>
      <c r="G2" s="10"/>
      <c r="H2" s="7" t="s">
        <v>3676</v>
      </c>
      <c r="I2" s="7" t="s">
        <v>3704</v>
      </c>
      <c r="J2" s="7" t="s">
        <v>3426</v>
      </c>
      <c r="K2" s="7" t="s">
        <v>2596</v>
      </c>
      <c r="L2" s="11" t="str">
        <f>HYPERLINK("http://slimages.macys.com/is/image/MCY/3974563 ")</f>
        <v xml:space="preserve">http://slimages.macys.com/is/image/MCY/3974563 </v>
      </c>
    </row>
    <row r="3" spans="1:12" ht="39.950000000000003" customHeight="1" x14ac:dyDescent="0.25">
      <c r="A3" s="6" t="s">
        <v>2597</v>
      </c>
      <c r="B3" s="7" t="s">
        <v>2598</v>
      </c>
      <c r="C3" s="8">
        <v>1</v>
      </c>
      <c r="D3" s="9">
        <v>349.99</v>
      </c>
      <c r="E3" s="8" t="s">
        <v>2599</v>
      </c>
      <c r="F3" s="7" t="s">
        <v>3541</v>
      </c>
      <c r="G3" s="10"/>
      <c r="H3" s="7" t="s">
        <v>3688</v>
      </c>
      <c r="I3" s="7" t="s">
        <v>3871</v>
      </c>
      <c r="J3" s="7" t="s">
        <v>3426</v>
      </c>
      <c r="K3" s="7" t="s">
        <v>3811</v>
      </c>
      <c r="L3" s="11" t="str">
        <f>HYPERLINK("http://slimages.macys.com/is/image/MCY/15909178 ")</f>
        <v xml:space="preserve">http://slimages.macys.com/is/image/MCY/15909178 </v>
      </c>
    </row>
    <row r="4" spans="1:12" ht="39.950000000000003" customHeight="1" x14ac:dyDescent="0.25">
      <c r="A4" s="6" t="s">
        <v>2600</v>
      </c>
      <c r="B4" s="7" t="s">
        <v>2601</v>
      </c>
      <c r="C4" s="8">
        <v>1</v>
      </c>
      <c r="D4" s="9">
        <v>179.99</v>
      </c>
      <c r="E4" s="8" t="s">
        <v>2602</v>
      </c>
      <c r="F4" s="7" t="s">
        <v>3892</v>
      </c>
      <c r="G4" s="10"/>
      <c r="H4" s="7" t="s">
        <v>3432</v>
      </c>
      <c r="I4" s="7" t="s">
        <v>3553</v>
      </c>
      <c r="J4" s="7"/>
      <c r="K4" s="7"/>
      <c r="L4" s="11" t="str">
        <f>HYPERLINK("http://slimages.macys.com/is/image/MCY/17532081 ")</f>
        <v xml:space="preserve">http://slimages.macys.com/is/image/MCY/17532081 </v>
      </c>
    </row>
    <row r="5" spans="1:12" ht="39.950000000000003" customHeight="1" x14ac:dyDescent="0.25">
      <c r="A5" s="6" t="s">
        <v>2603</v>
      </c>
      <c r="B5" s="7" t="s">
        <v>2604</v>
      </c>
      <c r="C5" s="8">
        <v>1</v>
      </c>
      <c r="D5" s="9">
        <v>199.99</v>
      </c>
      <c r="E5" s="8" t="s">
        <v>2605</v>
      </c>
      <c r="F5" s="7" t="s">
        <v>3445</v>
      </c>
      <c r="G5" s="10"/>
      <c r="H5" s="7" t="s">
        <v>3676</v>
      </c>
      <c r="I5" s="7" t="s">
        <v>3548</v>
      </c>
      <c r="J5" s="7" t="s">
        <v>3564</v>
      </c>
      <c r="K5" s="7" t="s">
        <v>3879</v>
      </c>
      <c r="L5" s="11" t="str">
        <f>HYPERLINK("http://slimages.macys.com/is/image/MCY/3962568 ")</f>
        <v xml:space="preserve">http://slimages.macys.com/is/image/MCY/3962568 </v>
      </c>
    </row>
    <row r="6" spans="1:12" ht="39.950000000000003" customHeight="1" x14ac:dyDescent="0.25">
      <c r="A6" s="6" t="s">
        <v>2606</v>
      </c>
      <c r="B6" s="7" t="s">
        <v>2607</v>
      </c>
      <c r="C6" s="8">
        <v>1</v>
      </c>
      <c r="D6" s="9">
        <v>188.99</v>
      </c>
      <c r="E6" s="8" t="s">
        <v>2608</v>
      </c>
      <c r="F6" s="7" t="s">
        <v>3463</v>
      </c>
      <c r="G6" s="10"/>
      <c r="H6" s="7" t="s">
        <v>3478</v>
      </c>
      <c r="I6" s="7" t="s">
        <v>2609</v>
      </c>
      <c r="J6" s="7" t="s">
        <v>3426</v>
      </c>
      <c r="K6" s="7" t="s">
        <v>2610</v>
      </c>
      <c r="L6" s="11" t="str">
        <f>HYPERLINK("http://slimages.macys.com/is/image/MCY/14330090 ")</f>
        <v xml:space="preserve">http://slimages.macys.com/is/image/MCY/14330090 </v>
      </c>
    </row>
    <row r="7" spans="1:12" ht="39.950000000000003" customHeight="1" x14ac:dyDescent="0.25">
      <c r="A7" s="6" t="s">
        <v>2611</v>
      </c>
      <c r="B7" s="7" t="s">
        <v>2612</v>
      </c>
      <c r="C7" s="8">
        <v>1</v>
      </c>
      <c r="D7" s="9">
        <v>149.99</v>
      </c>
      <c r="E7" s="8" t="s">
        <v>2613</v>
      </c>
      <c r="F7" s="7" t="s">
        <v>4304</v>
      </c>
      <c r="G7" s="10"/>
      <c r="H7" s="7" t="s">
        <v>3695</v>
      </c>
      <c r="I7" s="7" t="s">
        <v>2614</v>
      </c>
      <c r="J7" s="7" t="s">
        <v>3426</v>
      </c>
      <c r="K7" s="7" t="s">
        <v>2615</v>
      </c>
      <c r="L7" s="11" t="str">
        <f>HYPERLINK("http://slimages.macys.com/is/image/MCY/14603480 ")</f>
        <v xml:space="preserve">http://slimages.macys.com/is/image/MCY/14603480 </v>
      </c>
    </row>
    <row r="8" spans="1:12" ht="39.950000000000003" customHeight="1" x14ac:dyDescent="0.25">
      <c r="A8" s="6" t="s">
        <v>4261</v>
      </c>
      <c r="B8" s="7" t="s">
        <v>4262</v>
      </c>
      <c r="C8" s="8">
        <v>1</v>
      </c>
      <c r="D8" s="9">
        <v>149.99</v>
      </c>
      <c r="E8" s="8" t="s">
        <v>4263</v>
      </c>
      <c r="F8" s="7" t="s">
        <v>3445</v>
      </c>
      <c r="G8" s="10"/>
      <c r="H8" s="7" t="s">
        <v>3676</v>
      </c>
      <c r="I8" s="7" t="s">
        <v>3548</v>
      </c>
      <c r="J8" s="7" t="s">
        <v>3564</v>
      </c>
      <c r="K8" s="7" t="s">
        <v>3879</v>
      </c>
      <c r="L8" s="11" t="str">
        <f>HYPERLINK("http://slimages.macys.com/is/image/MCY/3962569 ")</f>
        <v xml:space="preserve">http://slimages.macys.com/is/image/MCY/3962569 </v>
      </c>
    </row>
    <row r="9" spans="1:12" ht="39.950000000000003" customHeight="1" x14ac:dyDescent="0.25">
      <c r="A9" s="6" t="s">
        <v>2616</v>
      </c>
      <c r="B9" s="7" t="s">
        <v>2617</v>
      </c>
      <c r="C9" s="8">
        <v>1</v>
      </c>
      <c r="D9" s="9">
        <v>179.99</v>
      </c>
      <c r="E9" s="8" t="s">
        <v>2618</v>
      </c>
      <c r="F9" s="7" t="s">
        <v>3496</v>
      </c>
      <c r="G9" s="10"/>
      <c r="H9" s="7" t="s">
        <v>3452</v>
      </c>
      <c r="I9" s="7" t="s">
        <v>3453</v>
      </c>
      <c r="J9" s="7" t="s">
        <v>3426</v>
      </c>
      <c r="K9" s="7"/>
      <c r="L9" s="11" t="str">
        <f>HYPERLINK("http://slimages.macys.com/is/image/MCY/15105814 ")</f>
        <v xml:space="preserve">http://slimages.macys.com/is/image/MCY/15105814 </v>
      </c>
    </row>
    <row r="10" spans="1:12" ht="39.950000000000003" customHeight="1" x14ac:dyDescent="0.25">
      <c r="A10" s="6" t="s">
        <v>2619</v>
      </c>
      <c r="B10" s="7" t="s">
        <v>2620</v>
      </c>
      <c r="C10" s="8">
        <v>1</v>
      </c>
      <c r="D10" s="9">
        <v>99.99</v>
      </c>
      <c r="E10" s="8" t="s">
        <v>2621</v>
      </c>
      <c r="F10" s="7" t="s">
        <v>3674</v>
      </c>
      <c r="G10" s="10"/>
      <c r="H10" s="7" t="s">
        <v>3424</v>
      </c>
      <c r="I10" s="7" t="s">
        <v>3425</v>
      </c>
      <c r="J10" s="7" t="s">
        <v>3426</v>
      </c>
      <c r="K10" s="7" t="s">
        <v>3556</v>
      </c>
      <c r="L10" s="11" t="str">
        <f>HYPERLINK("http://slimages.macys.com/is/image/MCY/13744381 ")</f>
        <v xml:space="preserve">http://slimages.macys.com/is/image/MCY/13744381 </v>
      </c>
    </row>
    <row r="11" spans="1:12" ht="39.950000000000003" customHeight="1" x14ac:dyDescent="0.25">
      <c r="A11" s="6" t="s">
        <v>2622</v>
      </c>
      <c r="B11" s="7" t="s">
        <v>2623</v>
      </c>
      <c r="C11" s="8">
        <v>1</v>
      </c>
      <c r="D11" s="9">
        <v>119.99</v>
      </c>
      <c r="E11" s="8" t="s">
        <v>2624</v>
      </c>
      <c r="F11" s="7" t="s">
        <v>3431</v>
      </c>
      <c r="G11" s="10"/>
      <c r="H11" s="7" t="s">
        <v>3583</v>
      </c>
      <c r="I11" s="7" t="s">
        <v>3517</v>
      </c>
      <c r="J11" s="7" t="s">
        <v>3426</v>
      </c>
      <c r="K11" s="7" t="s">
        <v>3556</v>
      </c>
      <c r="L11" s="11" t="str">
        <f>HYPERLINK("http://slimages.macys.com/is/image/MCY/8006065 ")</f>
        <v xml:space="preserve">http://slimages.macys.com/is/image/MCY/8006065 </v>
      </c>
    </row>
    <row r="12" spans="1:12" ht="39.950000000000003" customHeight="1" x14ac:dyDescent="0.25">
      <c r="A12" s="6" t="s">
        <v>2625</v>
      </c>
      <c r="B12" s="7" t="s">
        <v>2626</v>
      </c>
      <c r="C12" s="8">
        <v>1</v>
      </c>
      <c r="D12" s="9">
        <v>99.99</v>
      </c>
      <c r="E12" s="8" t="s">
        <v>2627</v>
      </c>
      <c r="F12" s="7" t="s">
        <v>3445</v>
      </c>
      <c r="G12" s="10"/>
      <c r="H12" s="7" t="s">
        <v>3432</v>
      </c>
      <c r="I12" s="7" t="s">
        <v>3553</v>
      </c>
      <c r="J12" s="7"/>
      <c r="K12" s="7"/>
      <c r="L12" s="11" t="str">
        <f>HYPERLINK("http://slimages.macys.com/is/image/MCY/17532069 ")</f>
        <v xml:space="preserve">http://slimages.macys.com/is/image/MCY/17532069 </v>
      </c>
    </row>
    <row r="13" spans="1:12" ht="39.950000000000003" customHeight="1" x14ac:dyDescent="0.25">
      <c r="A13" s="6" t="s">
        <v>2628</v>
      </c>
      <c r="B13" s="7" t="s">
        <v>2629</v>
      </c>
      <c r="C13" s="8">
        <v>1</v>
      </c>
      <c r="D13" s="9">
        <v>99.99</v>
      </c>
      <c r="E13" s="8" t="s">
        <v>2630</v>
      </c>
      <c r="F13" s="7" t="s">
        <v>3431</v>
      </c>
      <c r="G13" s="10" t="s">
        <v>2631</v>
      </c>
      <c r="H13" s="7" t="s">
        <v>3695</v>
      </c>
      <c r="I13" s="7" t="s">
        <v>2632</v>
      </c>
      <c r="J13" s="7" t="s">
        <v>2633</v>
      </c>
      <c r="K13" s="7" t="s">
        <v>2634</v>
      </c>
      <c r="L13" s="11" t="str">
        <f>HYPERLINK("http://images.bloomingdales.com/is/image/BLM/10807008 ")</f>
        <v xml:space="preserve">http://images.bloomingdales.com/is/image/BLM/10807008 </v>
      </c>
    </row>
    <row r="14" spans="1:12" ht="39.950000000000003" customHeight="1" x14ac:dyDescent="0.25">
      <c r="A14" s="6" t="s">
        <v>2635</v>
      </c>
      <c r="B14" s="7" t="s">
        <v>2636</v>
      </c>
      <c r="C14" s="8">
        <v>1</v>
      </c>
      <c r="D14" s="9">
        <v>99.99</v>
      </c>
      <c r="E14" s="8" t="s">
        <v>2637</v>
      </c>
      <c r="F14" s="7" t="s">
        <v>3511</v>
      </c>
      <c r="G14" s="10"/>
      <c r="H14" s="7" t="s">
        <v>3458</v>
      </c>
      <c r="I14" s="7" t="s">
        <v>3459</v>
      </c>
      <c r="J14" s="7" t="s">
        <v>3426</v>
      </c>
      <c r="K14" s="7"/>
      <c r="L14" s="11" t="str">
        <f>HYPERLINK("http://slimages.macys.com/is/image/MCY/11534834 ")</f>
        <v xml:space="preserve">http://slimages.macys.com/is/image/MCY/11534834 </v>
      </c>
    </row>
    <row r="15" spans="1:12" ht="39.950000000000003" customHeight="1" x14ac:dyDescent="0.25">
      <c r="A15" s="6" t="s">
        <v>2638</v>
      </c>
      <c r="B15" s="7" t="s">
        <v>2639</v>
      </c>
      <c r="C15" s="8">
        <v>1</v>
      </c>
      <c r="D15" s="9">
        <v>129.99</v>
      </c>
      <c r="E15" s="8" t="s">
        <v>2640</v>
      </c>
      <c r="F15" s="7" t="s">
        <v>3504</v>
      </c>
      <c r="G15" s="10"/>
      <c r="H15" s="7" t="s">
        <v>3458</v>
      </c>
      <c r="I15" s="7" t="s">
        <v>3459</v>
      </c>
      <c r="J15" s="7" t="s">
        <v>3426</v>
      </c>
      <c r="K15" s="7" t="s">
        <v>3556</v>
      </c>
      <c r="L15" s="11" t="str">
        <f>HYPERLINK("http://slimages.macys.com/is/image/MCY/11607139 ")</f>
        <v xml:space="preserve">http://slimages.macys.com/is/image/MCY/11607139 </v>
      </c>
    </row>
    <row r="16" spans="1:12" ht="39.950000000000003" customHeight="1" x14ac:dyDescent="0.25">
      <c r="A16" s="6" t="s">
        <v>2641</v>
      </c>
      <c r="B16" s="7" t="s">
        <v>2642</v>
      </c>
      <c r="C16" s="8">
        <v>1</v>
      </c>
      <c r="D16" s="9">
        <v>79.989999999999995</v>
      </c>
      <c r="E16" s="8" t="s">
        <v>2643</v>
      </c>
      <c r="F16" s="7" t="s">
        <v>3445</v>
      </c>
      <c r="G16" s="10"/>
      <c r="H16" s="7" t="s">
        <v>3452</v>
      </c>
      <c r="I16" s="7" t="s">
        <v>3453</v>
      </c>
      <c r="J16" s="7" t="s">
        <v>3613</v>
      </c>
      <c r="K16" s="7" t="s">
        <v>4251</v>
      </c>
      <c r="L16" s="11" t="str">
        <f>HYPERLINK("http://slimages.macys.com/is/image/MCY/11320819 ")</f>
        <v xml:space="preserve">http://slimages.macys.com/is/image/MCY/11320819 </v>
      </c>
    </row>
    <row r="17" spans="1:12" ht="39.950000000000003" customHeight="1" x14ac:dyDescent="0.25">
      <c r="A17" s="6" t="s">
        <v>2644</v>
      </c>
      <c r="B17" s="7" t="s">
        <v>2645</v>
      </c>
      <c r="C17" s="8">
        <v>1</v>
      </c>
      <c r="D17" s="9">
        <v>99.99</v>
      </c>
      <c r="E17" s="8" t="s">
        <v>2646</v>
      </c>
      <c r="F17" s="7" t="s">
        <v>3610</v>
      </c>
      <c r="G17" s="10" t="s">
        <v>3773</v>
      </c>
      <c r="H17" s="7" t="s">
        <v>3525</v>
      </c>
      <c r="I17" s="7" t="s">
        <v>3704</v>
      </c>
      <c r="J17" s="7" t="s">
        <v>3426</v>
      </c>
      <c r="K17" s="7" t="s">
        <v>2647</v>
      </c>
      <c r="L17" s="11" t="str">
        <f>HYPERLINK("http://slimages.macys.com/is/image/MCY/1067172 ")</f>
        <v xml:space="preserve">http://slimages.macys.com/is/image/MCY/1067172 </v>
      </c>
    </row>
    <row r="18" spans="1:12" ht="39.950000000000003" customHeight="1" x14ac:dyDescent="0.25">
      <c r="A18" s="6" t="s">
        <v>2648</v>
      </c>
      <c r="B18" s="7" t="s">
        <v>2649</v>
      </c>
      <c r="C18" s="8">
        <v>1</v>
      </c>
      <c r="D18" s="9">
        <v>84.99</v>
      </c>
      <c r="E18" s="8" t="s">
        <v>2650</v>
      </c>
      <c r="F18" s="7" t="s">
        <v>3832</v>
      </c>
      <c r="G18" s="10"/>
      <c r="H18" s="7" t="s">
        <v>3478</v>
      </c>
      <c r="I18" s="7" t="s">
        <v>3553</v>
      </c>
      <c r="J18" s="7" t="s">
        <v>3426</v>
      </c>
      <c r="K18" s="7" t="s">
        <v>2651</v>
      </c>
      <c r="L18" s="11" t="str">
        <f>HYPERLINK("http://slimages.macys.com/is/image/MCY/9433639 ")</f>
        <v xml:space="preserve">http://slimages.macys.com/is/image/MCY/9433639 </v>
      </c>
    </row>
    <row r="19" spans="1:12" ht="39.950000000000003" customHeight="1" x14ac:dyDescent="0.25">
      <c r="A19" s="6" t="s">
        <v>2652</v>
      </c>
      <c r="B19" s="7" t="s">
        <v>2653</v>
      </c>
      <c r="C19" s="8">
        <v>1</v>
      </c>
      <c r="D19" s="9">
        <v>69.989999999999995</v>
      </c>
      <c r="E19" s="8" t="s">
        <v>2654</v>
      </c>
      <c r="F19" s="7" t="s">
        <v>4035</v>
      </c>
      <c r="G19" s="10"/>
      <c r="H19" s="7" t="s">
        <v>3458</v>
      </c>
      <c r="I19" s="7" t="s">
        <v>3459</v>
      </c>
      <c r="J19" s="7" t="s">
        <v>3426</v>
      </c>
      <c r="K19" s="7" t="s">
        <v>3485</v>
      </c>
      <c r="L19" s="11" t="str">
        <f>HYPERLINK("http://slimages.macys.com/is/image/MCY/11607139 ")</f>
        <v xml:space="preserve">http://slimages.macys.com/is/image/MCY/11607139 </v>
      </c>
    </row>
    <row r="20" spans="1:12" ht="39.950000000000003" customHeight="1" x14ac:dyDescent="0.25">
      <c r="A20" s="6" t="s">
        <v>2655</v>
      </c>
      <c r="B20" s="7" t="s">
        <v>2656</v>
      </c>
      <c r="C20" s="8">
        <v>1</v>
      </c>
      <c r="D20" s="9">
        <v>69.989999999999995</v>
      </c>
      <c r="E20" s="8" t="s">
        <v>2657</v>
      </c>
      <c r="F20" s="7" t="s">
        <v>3451</v>
      </c>
      <c r="G20" s="10"/>
      <c r="H20" s="7" t="s">
        <v>3458</v>
      </c>
      <c r="I20" s="7" t="s">
        <v>3459</v>
      </c>
      <c r="J20" s="7" t="s">
        <v>3426</v>
      </c>
      <c r="K20" s="7"/>
      <c r="L20" s="11" t="str">
        <f>HYPERLINK("http://slimages.macys.com/is/image/MCY/13689104 ")</f>
        <v xml:space="preserve">http://slimages.macys.com/is/image/MCY/13689104 </v>
      </c>
    </row>
    <row r="21" spans="1:12" ht="39.950000000000003" customHeight="1" x14ac:dyDescent="0.25">
      <c r="A21" s="6" t="s">
        <v>2658</v>
      </c>
      <c r="B21" s="7" t="s">
        <v>2659</v>
      </c>
      <c r="C21" s="8">
        <v>1</v>
      </c>
      <c r="D21" s="9">
        <v>79.989999999999995</v>
      </c>
      <c r="E21" s="8" t="s">
        <v>2660</v>
      </c>
      <c r="F21" s="7" t="s">
        <v>3511</v>
      </c>
      <c r="G21" s="10"/>
      <c r="H21" s="7" t="s">
        <v>3458</v>
      </c>
      <c r="I21" s="7" t="s">
        <v>3459</v>
      </c>
      <c r="J21" s="7" t="s">
        <v>3426</v>
      </c>
      <c r="K21" s="7"/>
      <c r="L21" s="11" t="str">
        <f>HYPERLINK("http://slimages.macys.com/is/image/MCY/11534834 ")</f>
        <v xml:space="preserve">http://slimages.macys.com/is/image/MCY/11534834 </v>
      </c>
    </row>
    <row r="22" spans="1:12" ht="39.950000000000003" customHeight="1" x14ac:dyDescent="0.25">
      <c r="A22" s="6" t="s">
        <v>2661</v>
      </c>
      <c r="B22" s="7" t="s">
        <v>2662</v>
      </c>
      <c r="C22" s="8">
        <v>1</v>
      </c>
      <c r="D22" s="9">
        <v>54.99</v>
      </c>
      <c r="E22" s="8" t="s">
        <v>2663</v>
      </c>
      <c r="F22" s="7" t="s">
        <v>3477</v>
      </c>
      <c r="G22" s="10"/>
      <c r="H22" s="7" t="s">
        <v>3542</v>
      </c>
      <c r="I22" s="7" t="s">
        <v>4234</v>
      </c>
      <c r="J22" s="7" t="s">
        <v>3426</v>
      </c>
      <c r="K22" s="7"/>
      <c r="L22" s="11" t="str">
        <f>HYPERLINK("http://slimages.macys.com/is/image/MCY/12658741 ")</f>
        <v xml:space="preserve">http://slimages.macys.com/is/image/MCY/12658741 </v>
      </c>
    </row>
    <row r="23" spans="1:12" ht="39.950000000000003" customHeight="1" x14ac:dyDescent="0.25">
      <c r="A23" s="6" t="s">
        <v>2664</v>
      </c>
      <c r="B23" s="7" t="s">
        <v>2665</v>
      </c>
      <c r="C23" s="8">
        <v>1</v>
      </c>
      <c r="D23" s="9">
        <v>55.99</v>
      </c>
      <c r="E23" s="8" t="s">
        <v>2666</v>
      </c>
      <c r="F23" s="7" t="s">
        <v>3541</v>
      </c>
      <c r="G23" s="10" t="s">
        <v>3489</v>
      </c>
      <c r="H23" s="7" t="s">
        <v>3583</v>
      </c>
      <c r="I23" s="7" t="s">
        <v>2667</v>
      </c>
      <c r="J23" s="7" t="s">
        <v>3426</v>
      </c>
      <c r="K23" s="7" t="s">
        <v>2668</v>
      </c>
      <c r="L23" s="11" t="str">
        <f>HYPERLINK("http://slimages.macys.com/is/image/MCY/12419552 ")</f>
        <v xml:space="preserve">http://slimages.macys.com/is/image/MCY/12419552 </v>
      </c>
    </row>
    <row r="24" spans="1:12" ht="39.950000000000003" customHeight="1" x14ac:dyDescent="0.25">
      <c r="A24" s="6" t="s">
        <v>2669</v>
      </c>
      <c r="B24" s="7" t="s">
        <v>2670</v>
      </c>
      <c r="C24" s="8">
        <v>1</v>
      </c>
      <c r="D24" s="9">
        <v>49.99</v>
      </c>
      <c r="E24" s="8">
        <v>15824938</v>
      </c>
      <c r="F24" s="7" t="s">
        <v>3431</v>
      </c>
      <c r="G24" s="10"/>
      <c r="H24" s="7" t="s">
        <v>3424</v>
      </c>
      <c r="I24" s="7" t="s">
        <v>3700</v>
      </c>
      <c r="J24" s="7" t="s">
        <v>3426</v>
      </c>
      <c r="K24" s="7" t="s">
        <v>3556</v>
      </c>
      <c r="L24" s="11" t="str">
        <f>HYPERLINK("http://slimages.macys.com/is/image/MCY/3073694 ")</f>
        <v xml:space="preserve">http://slimages.macys.com/is/image/MCY/3073694 </v>
      </c>
    </row>
    <row r="25" spans="1:12" ht="39.950000000000003" customHeight="1" x14ac:dyDescent="0.25">
      <c r="A25" s="6" t="s">
        <v>2671</v>
      </c>
      <c r="B25" s="7" t="s">
        <v>2672</v>
      </c>
      <c r="C25" s="8">
        <v>1</v>
      </c>
      <c r="D25" s="9">
        <v>78.11</v>
      </c>
      <c r="E25" s="8" t="s">
        <v>2673</v>
      </c>
      <c r="F25" s="7"/>
      <c r="G25" s="10"/>
      <c r="H25" s="7" t="s">
        <v>3440</v>
      </c>
      <c r="I25" s="7" t="s">
        <v>3683</v>
      </c>
      <c r="J25" s="7" t="s">
        <v>3426</v>
      </c>
      <c r="K25" s="7" t="s">
        <v>2674</v>
      </c>
      <c r="L25" s="11" t="str">
        <f>HYPERLINK("http://slimages.macys.com/is/image/MCY/15767052 ")</f>
        <v xml:space="preserve">http://slimages.macys.com/is/image/MCY/15767052 </v>
      </c>
    </row>
    <row r="26" spans="1:12" ht="39.950000000000003" customHeight="1" x14ac:dyDescent="0.25">
      <c r="A26" s="6" t="s">
        <v>2675</v>
      </c>
      <c r="B26" s="7" t="s">
        <v>2676</v>
      </c>
      <c r="C26" s="8">
        <v>1</v>
      </c>
      <c r="D26" s="9">
        <v>39.99</v>
      </c>
      <c r="E26" s="8" t="s">
        <v>2677</v>
      </c>
      <c r="F26" s="7" t="s">
        <v>3445</v>
      </c>
      <c r="G26" s="10"/>
      <c r="H26" s="7" t="s">
        <v>3695</v>
      </c>
      <c r="I26" s="7" t="s">
        <v>2614</v>
      </c>
      <c r="J26" s="7" t="s">
        <v>3426</v>
      </c>
      <c r="K26" s="7" t="s">
        <v>3492</v>
      </c>
      <c r="L26" s="11" t="str">
        <f>HYPERLINK("http://slimages.macys.com/is/image/MCY/15825379 ")</f>
        <v xml:space="preserve">http://slimages.macys.com/is/image/MCY/15825379 </v>
      </c>
    </row>
    <row r="27" spans="1:12" ht="39.950000000000003" customHeight="1" x14ac:dyDescent="0.25">
      <c r="A27" s="6" t="s">
        <v>3758</v>
      </c>
      <c r="B27" s="7" t="s">
        <v>3759</v>
      </c>
      <c r="C27" s="8">
        <v>1</v>
      </c>
      <c r="D27" s="9">
        <v>49.99</v>
      </c>
      <c r="E27" s="8" t="s">
        <v>3760</v>
      </c>
      <c r="F27" s="7" t="s">
        <v>3445</v>
      </c>
      <c r="G27" s="10"/>
      <c r="H27" s="7" t="s">
        <v>3478</v>
      </c>
      <c r="I27" s="7" t="s">
        <v>3517</v>
      </c>
      <c r="J27" s="7" t="s">
        <v>3426</v>
      </c>
      <c r="K27" s="7" t="s">
        <v>3592</v>
      </c>
      <c r="L27" s="11" t="str">
        <f>HYPERLINK("http://slimages.macys.com/is/image/MCY/9330026 ")</f>
        <v xml:space="preserve">http://slimages.macys.com/is/image/MCY/9330026 </v>
      </c>
    </row>
    <row r="28" spans="1:12" ht="39.950000000000003" customHeight="1" x14ac:dyDescent="0.25">
      <c r="A28" s="6" t="s">
        <v>2521</v>
      </c>
      <c r="B28" s="7" t="s">
        <v>2522</v>
      </c>
      <c r="C28" s="8">
        <v>1</v>
      </c>
      <c r="D28" s="9">
        <v>78.11</v>
      </c>
      <c r="E28" s="8" t="s">
        <v>2523</v>
      </c>
      <c r="F28" s="7"/>
      <c r="G28" s="10"/>
      <c r="H28" s="7" t="s">
        <v>3478</v>
      </c>
      <c r="I28" s="7" t="s">
        <v>3517</v>
      </c>
      <c r="J28" s="7" t="s">
        <v>3426</v>
      </c>
      <c r="K28" s="7" t="s">
        <v>3592</v>
      </c>
      <c r="L28" s="11" t="str">
        <f>HYPERLINK("http://slimages.macys.com/is/image/MCY/9330026 ")</f>
        <v xml:space="preserve">http://slimages.macys.com/is/image/MCY/9330026 </v>
      </c>
    </row>
    <row r="29" spans="1:12" ht="39.950000000000003" customHeight="1" x14ac:dyDescent="0.25">
      <c r="A29" s="6" t="s">
        <v>2678</v>
      </c>
      <c r="B29" s="7" t="s">
        <v>2679</v>
      </c>
      <c r="C29" s="8">
        <v>2</v>
      </c>
      <c r="D29" s="9">
        <v>59.98</v>
      </c>
      <c r="E29" s="8" t="s">
        <v>2680</v>
      </c>
      <c r="F29" s="7" t="s">
        <v>3496</v>
      </c>
      <c r="G29" s="10"/>
      <c r="H29" s="7" t="s">
        <v>3452</v>
      </c>
      <c r="I29" s="7" t="s">
        <v>3834</v>
      </c>
      <c r="J29" s="7" t="s">
        <v>3426</v>
      </c>
      <c r="K29" s="7"/>
      <c r="L29" s="11" t="str">
        <f>HYPERLINK("http://slimages.macys.com/is/image/MCY/17754899 ")</f>
        <v xml:space="preserve">http://slimages.macys.com/is/image/MCY/17754899 </v>
      </c>
    </row>
    <row r="30" spans="1:12" ht="39.950000000000003" customHeight="1" x14ac:dyDescent="0.25">
      <c r="A30" s="6" t="s">
        <v>2681</v>
      </c>
      <c r="B30" s="7" t="s">
        <v>2682</v>
      </c>
      <c r="C30" s="8">
        <v>1</v>
      </c>
      <c r="D30" s="9">
        <v>59.99</v>
      </c>
      <c r="E30" s="8" t="s">
        <v>2683</v>
      </c>
      <c r="F30" s="7" t="s">
        <v>3445</v>
      </c>
      <c r="G30" s="10"/>
      <c r="H30" s="7" t="s">
        <v>3525</v>
      </c>
      <c r="I30" s="7" t="s">
        <v>3526</v>
      </c>
      <c r="J30" s="7" t="s">
        <v>3564</v>
      </c>
      <c r="K30" s="7" t="s">
        <v>2684</v>
      </c>
      <c r="L30" s="11" t="str">
        <f>HYPERLINK("http://slimages.macys.com/is/image/MCY/13368404 ")</f>
        <v xml:space="preserve">http://slimages.macys.com/is/image/MCY/13368404 </v>
      </c>
    </row>
    <row r="31" spans="1:12" ht="39.950000000000003" customHeight="1" x14ac:dyDescent="0.25">
      <c r="A31" s="6" t="s">
        <v>2685</v>
      </c>
      <c r="B31" s="7" t="s">
        <v>2686</v>
      </c>
      <c r="C31" s="8">
        <v>1</v>
      </c>
      <c r="D31" s="9">
        <v>29.99</v>
      </c>
      <c r="E31" s="8" t="s">
        <v>2687</v>
      </c>
      <c r="F31" s="7" t="s">
        <v>3832</v>
      </c>
      <c r="G31" s="10"/>
      <c r="H31" s="7" t="s">
        <v>3542</v>
      </c>
      <c r="I31" s="7" t="s">
        <v>3764</v>
      </c>
      <c r="J31" s="7" t="s">
        <v>3426</v>
      </c>
      <c r="K31" s="7" t="s">
        <v>3765</v>
      </c>
      <c r="L31" s="11" t="str">
        <f>HYPERLINK("http://slimages.macys.com/is/image/MCY/12900424 ")</f>
        <v xml:space="preserve">http://slimages.macys.com/is/image/MCY/12900424 </v>
      </c>
    </row>
    <row r="32" spans="1:12" ht="39.950000000000003" customHeight="1" x14ac:dyDescent="0.25">
      <c r="A32" s="6" t="s">
        <v>3795</v>
      </c>
      <c r="B32" s="7" t="s">
        <v>3796</v>
      </c>
      <c r="C32" s="8">
        <v>1</v>
      </c>
      <c r="D32" s="9">
        <v>41.99</v>
      </c>
      <c r="E32" s="8" t="s">
        <v>3797</v>
      </c>
      <c r="F32" s="7" t="s">
        <v>3477</v>
      </c>
      <c r="G32" s="10"/>
      <c r="H32" s="7" t="s">
        <v>3676</v>
      </c>
      <c r="I32" s="7" t="s">
        <v>3677</v>
      </c>
      <c r="J32" s="7"/>
      <c r="K32" s="7"/>
      <c r="L32" s="11" t="str">
        <f>HYPERLINK("http://slimages.macys.com/is/image/MCY/9489266 ")</f>
        <v xml:space="preserve">http://slimages.macys.com/is/image/MCY/9489266 </v>
      </c>
    </row>
    <row r="33" spans="1:12" ht="39.950000000000003" customHeight="1" x14ac:dyDescent="0.25">
      <c r="A33" s="6" t="s">
        <v>4355</v>
      </c>
      <c r="B33" s="7" t="s">
        <v>4356</v>
      </c>
      <c r="C33" s="8">
        <v>1</v>
      </c>
      <c r="D33" s="9">
        <v>16.989999999999998</v>
      </c>
      <c r="E33" s="8" t="s">
        <v>4357</v>
      </c>
      <c r="F33" s="7" t="s">
        <v>3445</v>
      </c>
      <c r="G33" s="10"/>
      <c r="H33" s="7" t="s">
        <v>3559</v>
      </c>
      <c r="I33" s="7" t="s">
        <v>3996</v>
      </c>
      <c r="J33" s="7"/>
      <c r="K33" s="7"/>
      <c r="L33" s="11" t="str">
        <f>HYPERLINK("http://slimages.macys.com/is/image/MCY/17934766 ")</f>
        <v xml:space="preserve">http://slimages.macys.com/is/image/MCY/17934766 </v>
      </c>
    </row>
    <row r="34" spans="1:12" ht="39.950000000000003" customHeight="1" x14ac:dyDescent="0.25">
      <c r="A34" s="6" t="s">
        <v>2688</v>
      </c>
      <c r="B34" s="7" t="s">
        <v>2689</v>
      </c>
      <c r="C34" s="8">
        <v>1</v>
      </c>
      <c r="D34" s="9">
        <v>39.99</v>
      </c>
      <c r="E34" s="8" t="s">
        <v>2690</v>
      </c>
      <c r="F34" s="7" t="s">
        <v>3530</v>
      </c>
      <c r="G34" s="10"/>
      <c r="H34" s="7" t="s">
        <v>3452</v>
      </c>
      <c r="I34" s="7" t="s">
        <v>3453</v>
      </c>
      <c r="J34" s="7" t="s">
        <v>3426</v>
      </c>
      <c r="K34" s="7"/>
      <c r="L34" s="11" t="str">
        <f>HYPERLINK("http://slimages.macys.com/is/image/MCY/11783220 ")</f>
        <v xml:space="preserve">http://slimages.macys.com/is/image/MCY/11783220 </v>
      </c>
    </row>
    <row r="35" spans="1:12" ht="39.950000000000003" customHeight="1" x14ac:dyDescent="0.25">
      <c r="A35" s="6" t="s">
        <v>2691</v>
      </c>
      <c r="B35" s="7" t="s">
        <v>2692</v>
      </c>
      <c r="C35" s="8">
        <v>1</v>
      </c>
      <c r="D35" s="9">
        <v>24.99</v>
      </c>
      <c r="E35" s="8">
        <v>56001</v>
      </c>
      <c r="F35" s="7" t="s">
        <v>3445</v>
      </c>
      <c r="G35" s="10"/>
      <c r="H35" s="7" t="s">
        <v>3490</v>
      </c>
      <c r="I35" s="7" t="s">
        <v>3649</v>
      </c>
      <c r="J35" s="7" t="s">
        <v>3426</v>
      </c>
      <c r="K35" s="7" t="s">
        <v>3811</v>
      </c>
      <c r="L35" s="11" t="str">
        <f>HYPERLINK("http://slimages.macys.com/is/image/MCY/16065409 ")</f>
        <v xml:space="preserve">http://slimages.macys.com/is/image/MCY/16065409 </v>
      </c>
    </row>
    <row r="36" spans="1:12" ht="39.950000000000003" customHeight="1" x14ac:dyDescent="0.25">
      <c r="A36" s="6" t="s">
        <v>2693</v>
      </c>
      <c r="B36" s="7" t="s">
        <v>2694</v>
      </c>
      <c r="C36" s="8">
        <v>1</v>
      </c>
      <c r="D36" s="9">
        <v>33.99</v>
      </c>
      <c r="E36" s="8">
        <v>278656829</v>
      </c>
      <c r="F36" s="7" t="s">
        <v>3535</v>
      </c>
      <c r="G36" s="10"/>
      <c r="H36" s="7" t="s">
        <v>3490</v>
      </c>
      <c r="I36" s="7" t="s">
        <v>2695</v>
      </c>
      <c r="J36" s="7" t="s">
        <v>3426</v>
      </c>
      <c r="K36" s="7" t="s">
        <v>2696</v>
      </c>
      <c r="L36" s="11" t="str">
        <f>HYPERLINK("http://slimages.macys.com/is/image/MCY/11461336 ")</f>
        <v xml:space="preserve">http://slimages.macys.com/is/image/MCY/11461336 </v>
      </c>
    </row>
    <row r="37" spans="1:12" ht="39.950000000000003" customHeight="1" x14ac:dyDescent="0.25">
      <c r="A37" s="6" t="s">
        <v>2697</v>
      </c>
      <c r="B37" s="7" t="s">
        <v>2698</v>
      </c>
      <c r="C37" s="8">
        <v>1</v>
      </c>
      <c r="D37" s="9">
        <v>24.99</v>
      </c>
      <c r="E37" s="8" t="s">
        <v>2699</v>
      </c>
      <c r="F37" s="7" t="s">
        <v>3755</v>
      </c>
      <c r="G37" s="10"/>
      <c r="H37" s="7" t="s">
        <v>3568</v>
      </c>
      <c r="I37" s="7" t="s">
        <v>2700</v>
      </c>
      <c r="J37" s="7" t="s">
        <v>3426</v>
      </c>
      <c r="K37" s="7" t="s">
        <v>3518</v>
      </c>
      <c r="L37" s="11" t="str">
        <f>HYPERLINK("http://slimages.macys.com/is/image/MCY/14718151 ")</f>
        <v xml:space="preserve">http://slimages.macys.com/is/image/MCY/14718151 </v>
      </c>
    </row>
    <row r="38" spans="1:12" ht="39.950000000000003" customHeight="1" x14ac:dyDescent="0.25">
      <c r="A38" s="6" t="s">
        <v>2701</v>
      </c>
      <c r="B38" s="7" t="s">
        <v>2702</v>
      </c>
      <c r="C38" s="8">
        <v>1</v>
      </c>
      <c r="D38" s="9">
        <v>19.989999999999998</v>
      </c>
      <c r="E38" s="8" t="s">
        <v>2703</v>
      </c>
      <c r="F38" s="7" t="s">
        <v>3463</v>
      </c>
      <c r="G38" s="10"/>
      <c r="H38" s="7" t="s">
        <v>3542</v>
      </c>
      <c r="I38" s="7" t="s">
        <v>3577</v>
      </c>
      <c r="J38" s="7" t="s">
        <v>3426</v>
      </c>
      <c r="K38" s="7" t="s">
        <v>3518</v>
      </c>
      <c r="L38" s="11" t="str">
        <f>HYPERLINK("http://slimages.macys.com/is/image/MCY/13743272 ")</f>
        <v xml:space="preserve">http://slimages.macys.com/is/image/MCY/13743272 </v>
      </c>
    </row>
    <row r="39" spans="1:12" ht="39.950000000000003" customHeight="1" x14ac:dyDescent="0.25">
      <c r="A39" s="6" t="s">
        <v>2704</v>
      </c>
      <c r="B39" s="7" t="s">
        <v>2705</v>
      </c>
      <c r="C39" s="8">
        <v>1</v>
      </c>
      <c r="D39" s="9">
        <v>29.99</v>
      </c>
      <c r="E39" s="8" t="s">
        <v>2706</v>
      </c>
      <c r="F39" s="7" t="s">
        <v>3463</v>
      </c>
      <c r="G39" s="10"/>
      <c r="H39" s="7" t="s">
        <v>3452</v>
      </c>
      <c r="I39" s="7" t="s">
        <v>3453</v>
      </c>
      <c r="J39" s="7" t="s">
        <v>3613</v>
      </c>
      <c r="K39" s="7" t="s">
        <v>3556</v>
      </c>
      <c r="L39" s="11" t="str">
        <f>HYPERLINK("http://slimages.macys.com/is/image/MCY/11320819 ")</f>
        <v xml:space="preserve">http://slimages.macys.com/is/image/MCY/11320819 </v>
      </c>
    </row>
    <row r="40" spans="1:12" ht="39.950000000000003" customHeight="1" x14ac:dyDescent="0.25">
      <c r="A40" s="6" t="s">
        <v>2707</v>
      </c>
      <c r="B40" s="7" t="s">
        <v>2708</v>
      </c>
      <c r="C40" s="8">
        <v>1</v>
      </c>
      <c r="D40" s="9">
        <v>19.989999999999998</v>
      </c>
      <c r="E40" s="8" t="s">
        <v>2709</v>
      </c>
      <c r="F40" s="7" t="s">
        <v>2710</v>
      </c>
      <c r="G40" s="10" t="s">
        <v>3653</v>
      </c>
      <c r="H40" s="7" t="s">
        <v>3583</v>
      </c>
      <c r="I40" s="7" t="s">
        <v>4183</v>
      </c>
      <c r="J40" s="7" t="s">
        <v>3426</v>
      </c>
      <c r="K40" s="7" t="s">
        <v>3556</v>
      </c>
      <c r="L40" s="11" t="str">
        <f>HYPERLINK("http://slimages.macys.com/is/image/MCY/8900132 ")</f>
        <v xml:space="preserve">http://slimages.macys.com/is/image/MCY/8900132 </v>
      </c>
    </row>
    <row r="41" spans="1:12" ht="39.950000000000003" customHeight="1" x14ac:dyDescent="0.25">
      <c r="A41" s="6" t="s">
        <v>2711</v>
      </c>
      <c r="B41" s="7" t="s">
        <v>2712</v>
      </c>
      <c r="C41" s="8">
        <v>2</v>
      </c>
      <c r="D41" s="9">
        <v>79.98</v>
      </c>
      <c r="E41" s="8" t="s">
        <v>2713</v>
      </c>
      <c r="F41" s="7" t="s">
        <v>3511</v>
      </c>
      <c r="G41" s="10"/>
      <c r="H41" s="7" t="s">
        <v>3452</v>
      </c>
      <c r="I41" s="7" t="s">
        <v>3453</v>
      </c>
      <c r="J41" s="7" t="s">
        <v>3426</v>
      </c>
      <c r="K41" s="7"/>
      <c r="L41" s="11" t="str">
        <f>HYPERLINK("http://slimages.macys.com/is/image/MCY/11778607 ")</f>
        <v xml:space="preserve">http://slimages.macys.com/is/image/MCY/11778607 </v>
      </c>
    </row>
    <row r="42" spans="1:12" ht="39.950000000000003" customHeight="1" x14ac:dyDescent="0.25">
      <c r="A42" s="6" t="s">
        <v>2714</v>
      </c>
      <c r="B42" s="7" t="s">
        <v>2715</v>
      </c>
      <c r="C42" s="8">
        <v>1</v>
      </c>
      <c r="D42" s="9">
        <v>16.989999999999998</v>
      </c>
      <c r="E42" s="8" t="s">
        <v>2716</v>
      </c>
      <c r="F42" s="7" t="s">
        <v>3431</v>
      </c>
      <c r="G42" s="10"/>
      <c r="H42" s="7" t="s">
        <v>3542</v>
      </c>
      <c r="I42" s="7" t="s">
        <v>3829</v>
      </c>
      <c r="J42" s="7" t="s">
        <v>3426</v>
      </c>
      <c r="K42" s="7" t="s">
        <v>3518</v>
      </c>
      <c r="L42" s="11" t="str">
        <f>HYPERLINK("http://slimages.macys.com/is/image/MCY/3162549 ")</f>
        <v xml:space="preserve">http://slimages.macys.com/is/image/MCY/3162549 </v>
      </c>
    </row>
    <row r="43" spans="1:12" ht="39.950000000000003" customHeight="1" x14ac:dyDescent="0.25">
      <c r="A43" s="6" t="s">
        <v>2717</v>
      </c>
      <c r="B43" s="7" t="s">
        <v>2718</v>
      </c>
      <c r="C43" s="8">
        <v>1</v>
      </c>
      <c r="D43" s="9">
        <v>29.99</v>
      </c>
      <c r="E43" s="8" t="s">
        <v>2719</v>
      </c>
      <c r="F43" s="7" t="s">
        <v>3463</v>
      </c>
      <c r="G43" s="10"/>
      <c r="H43" s="7" t="s">
        <v>3452</v>
      </c>
      <c r="I43" s="7" t="s">
        <v>3453</v>
      </c>
      <c r="J43" s="7" t="s">
        <v>3426</v>
      </c>
      <c r="K43" s="7"/>
      <c r="L43" s="11" t="str">
        <f>HYPERLINK("http://slimages.macys.com/is/image/MCY/15912153 ")</f>
        <v xml:space="preserve">http://slimages.macys.com/is/image/MCY/15912153 </v>
      </c>
    </row>
    <row r="44" spans="1:12" ht="39.950000000000003" customHeight="1" x14ac:dyDescent="0.25">
      <c r="A44" s="6" t="s">
        <v>2720</v>
      </c>
      <c r="B44" s="7" t="s">
        <v>2721</v>
      </c>
      <c r="C44" s="8">
        <v>1</v>
      </c>
      <c r="D44" s="9">
        <v>44.99</v>
      </c>
      <c r="E44" s="8" t="s">
        <v>2722</v>
      </c>
      <c r="F44" s="7" t="s">
        <v>3720</v>
      </c>
      <c r="G44" s="10"/>
      <c r="H44" s="7" t="s">
        <v>3458</v>
      </c>
      <c r="I44" s="7" t="s">
        <v>3459</v>
      </c>
      <c r="J44" s="7" t="s">
        <v>3426</v>
      </c>
      <c r="K44" s="7" t="s">
        <v>3485</v>
      </c>
      <c r="L44" s="11" t="str">
        <f>HYPERLINK("http://slimages.macys.com/is/image/MCY/11607139 ")</f>
        <v xml:space="preserve">http://slimages.macys.com/is/image/MCY/11607139 </v>
      </c>
    </row>
    <row r="45" spans="1:12" ht="39.950000000000003" customHeight="1" x14ac:dyDescent="0.25">
      <c r="A45" s="6" t="s">
        <v>2723</v>
      </c>
      <c r="B45" s="7" t="s">
        <v>2724</v>
      </c>
      <c r="C45" s="8">
        <v>1</v>
      </c>
      <c r="D45" s="9">
        <v>15.99</v>
      </c>
      <c r="E45" s="8" t="s">
        <v>2725</v>
      </c>
      <c r="F45" s="7" t="s">
        <v>2710</v>
      </c>
      <c r="G45" s="10" t="s">
        <v>4031</v>
      </c>
      <c r="H45" s="7" t="s">
        <v>3583</v>
      </c>
      <c r="I45" s="7" t="s">
        <v>4183</v>
      </c>
      <c r="J45" s="7" t="s">
        <v>3426</v>
      </c>
      <c r="K45" s="7" t="s">
        <v>3556</v>
      </c>
      <c r="L45" s="11" t="str">
        <f>HYPERLINK("http://slimages.macys.com/is/image/MCY/8900132 ")</f>
        <v xml:space="preserve">http://slimages.macys.com/is/image/MCY/8900132 </v>
      </c>
    </row>
    <row r="46" spans="1:12" ht="39.950000000000003" customHeight="1" x14ac:dyDescent="0.25">
      <c r="A46" s="6" t="s">
        <v>2726</v>
      </c>
      <c r="B46" s="7" t="s">
        <v>2727</v>
      </c>
      <c r="C46" s="8">
        <v>1</v>
      </c>
      <c r="D46" s="9">
        <v>14.99</v>
      </c>
      <c r="E46" s="8" t="s">
        <v>2728</v>
      </c>
      <c r="F46" s="7" t="s">
        <v>3610</v>
      </c>
      <c r="G46" s="10"/>
      <c r="H46" s="7" t="s">
        <v>3525</v>
      </c>
      <c r="I46" s="7" t="s">
        <v>4179</v>
      </c>
      <c r="J46" s="7" t="s">
        <v>3564</v>
      </c>
      <c r="K46" s="7"/>
      <c r="L46" s="11" t="str">
        <f>HYPERLINK("http://slimages.macys.com/is/image/MCY/8644231 ")</f>
        <v xml:space="preserve">http://slimages.macys.com/is/image/MCY/8644231 </v>
      </c>
    </row>
    <row r="47" spans="1:12" ht="39.950000000000003" customHeight="1" x14ac:dyDescent="0.25">
      <c r="A47" s="6" t="s">
        <v>2729</v>
      </c>
      <c r="B47" s="7" t="s">
        <v>2730</v>
      </c>
      <c r="C47" s="8">
        <v>2</v>
      </c>
      <c r="D47" s="9">
        <v>35.979999999999997</v>
      </c>
      <c r="E47" s="8" t="s">
        <v>2731</v>
      </c>
      <c r="F47" s="7" t="s">
        <v>3463</v>
      </c>
      <c r="G47" s="10"/>
      <c r="H47" s="7" t="s">
        <v>3490</v>
      </c>
      <c r="I47" s="7" t="s">
        <v>2732</v>
      </c>
      <c r="J47" s="7" t="s">
        <v>3426</v>
      </c>
      <c r="K47" s="7" t="s">
        <v>3518</v>
      </c>
      <c r="L47" s="11" t="str">
        <f>HYPERLINK("http://slimages.macys.com/is/image/MCY/12712427 ")</f>
        <v xml:space="preserve">http://slimages.macys.com/is/image/MCY/12712427 </v>
      </c>
    </row>
    <row r="48" spans="1:12" ht="39.950000000000003" customHeight="1" x14ac:dyDescent="0.25">
      <c r="A48" s="6" t="s">
        <v>2733</v>
      </c>
      <c r="B48" s="7" t="s">
        <v>2734</v>
      </c>
      <c r="C48" s="8">
        <v>1</v>
      </c>
      <c r="D48" s="9">
        <v>5.99</v>
      </c>
      <c r="E48" s="8" t="s">
        <v>2735</v>
      </c>
      <c r="F48" s="7" t="s">
        <v>3445</v>
      </c>
      <c r="G48" s="10" t="s">
        <v>4031</v>
      </c>
      <c r="H48" s="7" t="s">
        <v>3635</v>
      </c>
      <c r="I48" s="7" t="s">
        <v>3508</v>
      </c>
      <c r="J48" s="7"/>
      <c r="K48" s="7"/>
      <c r="L48" s="11" t="str">
        <f>HYPERLINK("http://slimages.macys.com/is/image/MCY/17493081 ")</f>
        <v xml:space="preserve">http://slimages.macys.com/is/image/MCY/17493081 </v>
      </c>
    </row>
    <row r="49" spans="1:12" ht="39.950000000000003" customHeight="1" x14ac:dyDescent="0.25">
      <c r="A49" s="6" t="s">
        <v>2736</v>
      </c>
      <c r="B49" s="7" t="s">
        <v>2737</v>
      </c>
      <c r="C49" s="8">
        <v>1</v>
      </c>
      <c r="D49" s="9">
        <v>4.99</v>
      </c>
      <c r="E49" s="8" t="s">
        <v>2738</v>
      </c>
      <c r="F49" s="7" t="s">
        <v>4035</v>
      </c>
      <c r="G49" s="10" t="s">
        <v>4360</v>
      </c>
      <c r="H49" s="7" t="s">
        <v>3654</v>
      </c>
      <c r="I49" s="7" t="s">
        <v>3840</v>
      </c>
      <c r="J49" s="7" t="s">
        <v>3426</v>
      </c>
      <c r="K49" s="7" t="s">
        <v>3492</v>
      </c>
      <c r="L49" s="11" t="str">
        <f>HYPERLINK("http://slimages.macys.com/is/image/MCY/12723277 ")</f>
        <v xml:space="preserve">http://slimages.macys.com/is/image/MCY/12723277 </v>
      </c>
    </row>
    <row r="50" spans="1:12" ht="39.950000000000003" customHeight="1" x14ac:dyDescent="0.25">
      <c r="A50" s="6" t="s">
        <v>3860</v>
      </c>
      <c r="B50" s="7" t="s">
        <v>3861</v>
      </c>
      <c r="C50" s="8">
        <v>1</v>
      </c>
      <c r="D50" s="9">
        <v>179.99</v>
      </c>
      <c r="E50" s="8">
        <v>82278</v>
      </c>
      <c r="F50" s="7" t="s">
        <v>3535</v>
      </c>
      <c r="G50" s="10"/>
      <c r="H50" s="7" t="s">
        <v>3478</v>
      </c>
      <c r="I50" s="7" t="s">
        <v>3479</v>
      </c>
      <c r="J50" s="7"/>
      <c r="K50" s="7"/>
      <c r="L50" s="11"/>
    </row>
    <row r="51" spans="1:12" ht="39.950000000000003" customHeight="1" x14ac:dyDescent="0.25">
      <c r="A51" s="6" t="s">
        <v>2739</v>
      </c>
      <c r="B51" s="7" t="s">
        <v>2740</v>
      </c>
      <c r="C51" s="8">
        <v>1</v>
      </c>
      <c r="D51" s="9">
        <v>169.99</v>
      </c>
      <c r="E51" s="8" t="s">
        <v>2741</v>
      </c>
      <c r="F51" s="7" t="s">
        <v>3463</v>
      </c>
      <c r="G51" s="10"/>
      <c r="H51" s="7" t="s">
        <v>3452</v>
      </c>
      <c r="I51" s="7" t="s">
        <v>3453</v>
      </c>
      <c r="J51" s="7"/>
      <c r="K51" s="7"/>
      <c r="L51" s="11"/>
    </row>
    <row r="52" spans="1:12" ht="39.950000000000003" customHeight="1" x14ac:dyDescent="0.25">
      <c r="A52" s="6" t="s">
        <v>2742</v>
      </c>
      <c r="B52" s="7" t="s">
        <v>2743</v>
      </c>
      <c r="C52" s="8">
        <v>1</v>
      </c>
      <c r="D52" s="9">
        <v>109.99</v>
      </c>
      <c r="E52" s="8" t="s">
        <v>2744</v>
      </c>
      <c r="F52" s="7" t="s">
        <v>3445</v>
      </c>
      <c r="G52" s="10"/>
      <c r="H52" s="7" t="s">
        <v>3452</v>
      </c>
      <c r="I52" s="7" t="s">
        <v>3453</v>
      </c>
      <c r="J52" s="7"/>
      <c r="K52" s="7"/>
      <c r="L52" s="11"/>
    </row>
    <row r="53" spans="1:12" ht="39.950000000000003" customHeight="1" x14ac:dyDescent="0.25">
      <c r="A53" s="6" t="s">
        <v>3667</v>
      </c>
      <c r="B53" s="7" t="s">
        <v>3668</v>
      </c>
      <c r="C53" s="8">
        <v>4</v>
      </c>
      <c r="D53" s="9">
        <v>160</v>
      </c>
      <c r="E53" s="8"/>
      <c r="F53" s="7" t="s">
        <v>3610</v>
      </c>
      <c r="G53" s="10" t="s">
        <v>3489</v>
      </c>
      <c r="H53" s="7" t="s">
        <v>3669</v>
      </c>
      <c r="I53" s="7" t="s">
        <v>3670</v>
      </c>
      <c r="J53" s="7"/>
      <c r="K53" s="7"/>
      <c r="L53" s="11"/>
    </row>
    <row r="54" spans="1:12" ht="39.950000000000003" customHeight="1" x14ac:dyDescent="0.25">
      <c r="A54" s="6" t="s">
        <v>2745</v>
      </c>
      <c r="B54" s="7" t="s">
        <v>2746</v>
      </c>
      <c r="C54" s="8">
        <v>1</v>
      </c>
      <c r="D54" s="9">
        <v>49.99</v>
      </c>
      <c r="E54" s="8" t="s">
        <v>2747</v>
      </c>
      <c r="F54" s="7"/>
      <c r="G54" s="10"/>
      <c r="H54" s="7" t="s">
        <v>3478</v>
      </c>
      <c r="I54" s="7" t="s">
        <v>3815</v>
      </c>
      <c r="J54" s="7"/>
      <c r="K54" s="7"/>
      <c r="L54" s="11"/>
    </row>
    <row r="55" spans="1:12" ht="39.950000000000003" customHeight="1" x14ac:dyDescent="0.25">
      <c r="A55" s="6" t="s">
        <v>2748</v>
      </c>
      <c r="B55" s="7" t="s">
        <v>2749</v>
      </c>
      <c r="C55" s="8">
        <v>1</v>
      </c>
      <c r="D55" s="9">
        <v>29.99</v>
      </c>
      <c r="E55" s="8">
        <v>82616</v>
      </c>
      <c r="F55" s="7" t="s">
        <v>3511</v>
      </c>
      <c r="G55" s="10" t="s">
        <v>4156</v>
      </c>
      <c r="H55" s="7" t="s">
        <v>3490</v>
      </c>
      <c r="I55" s="7" t="s">
        <v>3479</v>
      </c>
      <c r="J55" s="7"/>
      <c r="K55" s="7"/>
      <c r="L55" s="11"/>
    </row>
    <row r="56" spans="1:12" ht="39.950000000000003" customHeight="1" x14ac:dyDescent="0.25">
      <c r="A56" s="6" t="s">
        <v>2750</v>
      </c>
      <c r="B56" s="7" t="s">
        <v>2751</v>
      </c>
      <c r="C56" s="8">
        <v>1</v>
      </c>
      <c r="D56" s="9">
        <v>39.99</v>
      </c>
      <c r="E56" s="8" t="s">
        <v>2752</v>
      </c>
      <c r="F56" s="7" t="s">
        <v>3511</v>
      </c>
      <c r="G56" s="10"/>
      <c r="H56" s="7" t="s">
        <v>3452</v>
      </c>
      <c r="I56" s="7" t="s">
        <v>3453</v>
      </c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3408</v>
      </c>
      <c r="B1" s="5" t="s">
        <v>3409</v>
      </c>
      <c r="C1" s="5" t="s">
        <v>3410</v>
      </c>
      <c r="D1" s="5" t="s">
        <v>3411</v>
      </c>
      <c r="E1" s="5" t="s">
        <v>3412</v>
      </c>
      <c r="F1" s="5" t="s">
        <v>3413</v>
      </c>
      <c r="G1" s="5" t="s">
        <v>3414</v>
      </c>
      <c r="H1" s="5" t="s">
        <v>3415</v>
      </c>
      <c r="I1" s="5" t="s">
        <v>3416</v>
      </c>
      <c r="J1" s="5" t="s">
        <v>3417</v>
      </c>
      <c r="K1" s="5" t="s">
        <v>3418</v>
      </c>
      <c r="L1" s="5" t="s">
        <v>3419</v>
      </c>
    </row>
    <row r="2" spans="1:12" ht="39.950000000000003" customHeight="1" x14ac:dyDescent="0.25">
      <c r="A2" s="6" t="s">
        <v>2593</v>
      </c>
      <c r="B2" s="7" t="s">
        <v>2594</v>
      </c>
      <c r="C2" s="8">
        <v>2</v>
      </c>
      <c r="D2" s="9">
        <v>999.98</v>
      </c>
      <c r="E2" s="8" t="s">
        <v>2595</v>
      </c>
      <c r="F2" s="7" t="s">
        <v>3445</v>
      </c>
      <c r="G2" s="10"/>
      <c r="H2" s="7" t="s">
        <v>3676</v>
      </c>
      <c r="I2" s="7" t="s">
        <v>3704</v>
      </c>
      <c r="J2" s="7" t="s">
        <v>3426</v>
      </c>
      <c r="K2" s="7" t="s">
        <v>2596</v>
      </c>
      <c r="L2" s="11" t="str">
        <f>HYPERLINK("http://slimages.macys.com/is/image/MCY/3974563 ")</f>
        <v xml:space="preserve">http://slimages.macys.com/is/image/MCY/3974563 </v>
      </c>
    </row>
    <row r="3" spans="1:12" ht="39.950000000000003" customHeight="1" x14ac:dyDescent="0.25">
      <c r="A3" s="6" t="s">
        <v>2753</v>
      </c>
      <c r="B3" s="7" t="s">
        <v>2754</v>
      </c>
      <c r="C3" s="8">
        <v>1</v>
      </c>
      <c r="D3" s="9">
        <v>299.99</v>
      </c>
      <c r="E3" s="8" t="s">
        <v>2755</v>
      </c>
      <c r="F3" s="7" t="s">
        <v>3445</v>
      </c>
      <c r="G3" s="10"/>
      <c r="H3" s="7" t="s">
        <v>3676</v>
      </c>
      <c r="I3" s="7" t="s">
        <v>3704</v>
      </c>
      <c r="J3" s="7" t="s">
        <v>3426</v>
      </c>
      <c r="K3" s="7" t="s">
        <v>2596</v>
      </c>
      <c r="L3" s="11" t="str">
        <f>HYPERLINK("http://slimages.macys.com/is/image/MCY/3969345 ")</f>
        <v xml:space="preserve">http://slimages.macys.com/is/image/MCY/3969345 </v>
      </c>
    </row>
    <row r="4" spans="1:12" ht="39.950000000000003" customHeight="1" x14ac:dyDescent="0.25">
      <c r="A4" s="6" t="s">
        <v>2756</v>
      </c>
      <c r="B4" s="7" t="s">
        <v>2757</v>
      </c>
      <c r="C4" s="8">
        <v>2</v>
      </c>
      <c r="D4" s="9">
        <v>379.98</v>
      </c>
      <c r="E4" s="8">
        <v>20192121</v>
      </c>
      <c r="F4" s="7" t="s">
        <v>3477</v>
      </c>
      <c r="G4" s="10"/>
      <c r="H4" s="7" t="s">
        <v>3424</v>
      </c>
      <c r="I4" s="7" t="s">
        <v>3700</v>
      </c>
      <c r="J4" s="7" t="s">
        <v>3426</v>
      </c>
      <c r="K4" s="7" t="s">
        <v>2758</v>
      </c>
      <c r="L4" s="11" t="str">
        <f>HYPERLINK("http://slimages.macys.com/is/image/MCY/14332355 ")</f>
        <v xml:space="preserve">http://slimages.macys.com/is/image/MCY/14332355 </v>
      </c>
    </row>
    <row r="5" spans="1:12" ht="39.950000000000003" customHeight="1" x14ac:dyDescent="0.25">
      <c r="A5" s="6" t="s">
        <v>2759</v>
      </c>
      <c r="B5" s="7" t="s">
        <v>2760</v>
      </c>
      <c r="C5" s="8">
        <v>1</v>
      </c>
      <c r="D5" s="9">
        <v>199.99</v>
      </c>
      <c r="E5" s="8" t="s">
        <v>2761</v>
      </c>
      <c r="F5" s="7" t="s">
        <v>3463</v>
      </c>
      <c r="G5" s="10"/>
      <c r="H5" s="7" t="s">
        <v>3478</v>
      </c>
      <c r="I5" s="7" t="s">
        <v>3553</v>
      </c>
      <c r="J5" s="7" t="s">
        <v>3426</v>
      </c>
      <c r="K5" s="7" t="s">
        <v>2762</v>
      </c>
      <c r="L5" s="11" t="str">
        <f>HYPERLINK("http://slimages.macys.com/is/image/MCY/9627833 ")</f>
        <v xml:space="preserve">http://slimages.macys.com/is/image/MCY/9627833 </v>
      </c>
    </row>
    <row r="6" spans="1:12" ht="39.950000000000003" customHeight="1" x14ac:dyDescent="0.25">
      <c r="A6" s="6" t="s">
        <v>2763</v>
      </c>
      <c r="B6" s="7" t="s">
        <v>2764</v>
      </c>
      <c r="C6" s="8">
        <v>1</v>
      </c>
      <c r="D6" s="9">
        <v>169.99</v>
      </c>
      <c r="E6" s="8" t="s">
        <v>2765</v>
      </c>
      <c r="F6" s="7" t="s">
        <v>3588</v>
      </c>
      <c r="G6" s="10"/>
      <c r="H6" s="7" t="s">
        <v>3478</v>
      </c>
      <c r="I6" s="7" t="s">
        <v>3553</v>
      </c>
      <c r="J6" s="7" t="s">
        <v>3426</v>
      </c>
      <c r="K6" s="7" t="s">
        <v>2766</v>
      </c>
      <c r="L6" s="11" t="str">
        <f>HYPERLINK("http://slimages.macys.com/is/image/MCY/9627930 ")</f>
        <v xml:space="preserve">http://slimages.macys.com/is/image/MCY/9627930 </v>
      </c>
    </row>
    <row r="7" spans="1:12" ht="39.950000000000003" customHeight="1" x14ac:dyDescent="0.25">
      <c r="A7" s="6" t="s">
        <v>2767</v>
      </c>
      <c r="B7" s="7" t="s">
        <v>2768</v>
      </c>
      <c r="C7" s="8">
        <v>2</v>
      </c>
      <c r="D7" s="9">
        <v>399.98</v>
      </c>
      <c r="E7" s="8" t="s">
        <v>2769</v>
      </c>
      <c r="F7" s="7" t="s">
        <v>3445</v>
      </c>
      <c r="G7" s="10"/>
      <c r="H7" s="7" t="s">
        <v>3676</v>
      </c>
      <c r="I7" s="7" t="s">
        <v>3704</v>
      </c>
      <c r="J7" s="7" t="s">
        <v>3426</v>
      </c>
      <c r="K7" s="7"/>
      <c r="L7" s="11" t="str">
        <f>HYPERLINK("http://slimages.macys.com/is/image/MCY/2355760 ")</f>
        <v xml:space="preserve">http://slimages.macys.com/is/image/MCY/2355760 </v>
      </c>
    </row>
    <row r="8" spans="1:12" ht="39.950000000000003" customHeight="1" x14ac:dyDescent="0.25">
      <c r="A8" s="6" t="s">
        <v>2770</v>
      </c>
      <c r="B8" s="7" t="s">
        <v>2771</v>
      </c>
      <c r="C8" s="8">
        <v>1</v>
      </c>
      <c r="D8" s="9">
        <v>129.99</v>
      </c>
      <c r="E8" s="8" t="s">
        <v>2772</v>
      </c>
      <c r="F8" s="7" t="s">
        <v>3445</v>
      </c>
      <c r="G8" s="10"/>
      <c r="H8" s="7" t="s">
        <v>3424</v>
      </c>
      <c r="I8" s="7" t="s">
        <v>3508</v>
      </c>
      <c r="J8" s="7" t="s">
        <v>3426</v>
      </c>
      <c r="K8" s="7" t="s">
        <v>2773</v>
      </c>
      <c r="L8" s="11" t="str">
        <f>HYPERLINK("http://slimages.macys.com/is/image/MCY/9302453 ")</f>
        <v xml:space="preserve">http://slimages.macys.com/is/image/MCY/9302453 </v>
      </c>
    </row>
    <row r="9" spans="1:12" ht="39.950000000000003" customHeight="1" x14ac:dyDescent="0.25">
      <c r="A9" s="6" t="s">
        <v>2774</v>
      </c>
      <c r="B9" s="7" t="s">
        <v>2775</v>
      </c>
      <c r="C9" s="8">
        <v>2</v>
      </c>
      <c r="D9" s="9">
        <v>199.98</v>
      </c>
      <c r="E9" s="8">
        <v>206334</v>
      </c>
      <c r="F9" s="7" t="s">
        <v>3720</v>
      </c>
      <c r="G9" s="10"/>
      <c r="H9" s="7" t="s">
        <v>3688</v>
      </c>
      <c r="I9" s="7" t="s">
        <v>3689</v>
      </c>
      <c r="J9" s="7" t="s">
        <v>3426</v>
      </c>
      <c r="K9" s="7" t="s">
        <v>3556</v>
      </c>
      <c r="L9" s="11" t="str">
        <f>HYPERLINK("http://slimages.macys.com/is/image/MCY/10276198 ")</f>
        <v xml:space="preserve">http://slimages.macys.com/is/image/MCY/10276198 </v>
      </c>
    </row>
    <row r="10" spans="1:12" ht="39.950000000000003" customHeight="1" x14ac:dyDescent="0.25">
      <c r="A10" s="6" t="s">
        <v>2776</v>
      </c>
      <c r="B10" s="7" t="s">
        <v>2777</v>
      </c>
      <c r="C10" s="8">
        <v>1</v>
      </c>
      <c r="D10" s="9">
        <v>99.99</v>
      </c>
      <c r="E10" s="8">
        <v>222278</v>
      </c>
      <c r="F10" s="7" t="s">
        <v>3431</v>
      </c>
      <c r="G10" s="10"/>
      <c r="H10" s="7" t="s">
        <v>3688</v>
      </c>
      <c r="I10" s="7" t="s">
        <v>3689</v>
      </c>
      <c r="J10" s="7" t="s">
        <v>3426</v>
      </c>
      <c r="K10" s="7" t="s">
        <v>3492</v>
      </c>
      <c r="L10" s="11" t="str">
        <f>HYPERLINK("http://slimages.macys.com/is/image/MCY/10276321 ")</f>
        <v xml:space="preserve">http://slimages.macys.com/is/image/MCY/10276321 </v>
      </c>
    </row>
    <row r="11" spans="1:12" ht="39.950000000000003" customHeight="1" x14ac:dyDescent="0.25">
      <c r="A11" s="6" t="s">
        <v>2778</v>
      </c>
      <c r="B11" s="7" t="s">
        <v>2779</v>
      </c>
      <c r="C11" s="8">
        <v>1</v>
      </c>
      <c r="D11" s="9">
        <v>109.99</v>
      </c>
      <c r="E11" s="8" t="s">
        <v>2780</v>
      </c>
      <c r="F11" s="7" t="s">
        <v>3477</v>
      </c>
      <c r="G11" s="10"/>
      <c r="H11" s="7" t="s">
        <v>3432</v>
      </c>
      <c r="I11" s="7" t="s">
        <v>3553</v>
      </c>
      <c r="J11" s="7" t="s">
        <v>3613</v>
      </c>
      <c r="K11" s="7" t="s">
        <v>2781</v>
      </c>
      <c r="L11" s="11" t="str">
        <f>HYPERLINK("http://slimages.macys.com/is/image/MCY/10139063 ")</f>
        <v xml:space="preserve">http://slimages.macys.com/is/image/MCY/10139063 </v>
      </c>
    </row>
    <row r="12" spans="1:12" ht="39.950000000000003" customHeight="1" x14ac:dyDescent="0.25">
      <c r="A12" s="6" t="s">
        <v>2782</v>
      </c>
      <c r="B12" s="7" t="s">
        <v>2783</v>
      </c>
      <c r="C12" s="8">
        <v>1</v>
      </c>
      <c r="D12" s="9">
        <v>79.989999999999995</v>
      </c>
      <c r="E12" s="8" t="s">
        <v>2784</v>
      </c>
      <c r="F12" s="7" t="s">
        <v>3755</v>
      </c>
      <c r="G12" s="10"/>
      <c r="H12" s="7" t="s">
        <v>3583</v>
      </c>
      <c r="I12" s="7" t="s">
        <v>4411</v>
      </c>
      <c r="J12" s="7" t="s">
        <v>3426</v>
      </c>
      <c r="K12" s="7" t="s">
        <v>3556</v>
      </c>
      <c r="L12" s="11" t="str">
        <f>HYPERLINK("http://slimages.macys.com/is/image/MCY/13300245 ")</f>
        <v xml:space="preserve">http://slimages.macys.com/is/image/MCY/13300245 </v>
      </c>
    </row>
    <row r="13" spans="1:12" ht="39.950000000000003" customHeight="1" x14ac:dyDescent="0.25">
      <c r="A13" s="6" t="s">
        <v>2785</v>
      </c>
      <c r="B13" s="7" t="s">
        <v>2786</v>
      </c>
      <c r="C13" s="8">
        <v>1</v>
      </c>
      <c r="D13" s="9">
        <v>99.99</v>
      </c>
      <c r="E13" s="8" t="s">
        <v>2787</v>
      </c>
      <c r="F13" s="7" t="s">
        <v>4304</v>
      </c>
      <c r="G13" s="10"/>
      <c r="H13" s="7" t="s">
        <v>3467</v>
      </c>
      <c r="I13" s="7" t="s">
        <v>3468</v>
      </c>
      <c r="J13" s="7" t="s">
        <v>3426</v>
      </c>
      <c r="K13" s="7" t="s">
        <v>2788</v>
      </c>
      <c r="L13" s="11" t="str">
        <f>HYPERLINK("http://slimages.macys.com/is/image/MCY/16533936 ")</f>
        <v xml:space="preserve">http://slimages.macys.com/is/image/MCY/16533936 </v>
      </c>
    </row>
    <row r="14" spans="1:12" ht="39.950000000000003" customHeight="1" x14ac:dyDescent="0.25">
      <c r="A14" s="6" t="s">
        <v>2789</v>
      </c>
      <c r="B14" s="7" t="s">
        <v>2790</v>
      </c>
      <c r="C14" s="8">
        <v>1</v>
      </c>
      <c r="D14" s="9">
        <v>78.11</v>
      </c>
      <c r="E14" s="8" t="s">
        <v>2791</v>
      </c>
      <c r="F14" s="7"/>
      <c r="G14" s="10"/>
      <c r="H14" s="7" t="s">
        <v>3676</v>
      </c>
      <c r="I14" s="7" t="s">
        <v>3548</v>
      </c>
      <c r="J14" s="7" t="s">
        <v>3426</v>
      </c>
      <c r="K14" s="7" t="s">
        <v>2792</v>
      </c>
      <c r="L14" s="11" t="str">
        <f>HYPERLINK("http://slimages.macys.com/is/image/MCY/11386860 ")</f>
        <v xml:space="preserve">http://slimages.macys.com/is/image/MCY/11386860 </v>
      </c>
    </row>
    <row r="15" spans="1:12" ht="39.950000000000003" customHeight="1" x14ac:dyDescent="0.25">
      <c r="A15" s="6" t="s">
        <v>2793</v>
      </c>
      <c r="B15" s="7" t="s">
        <v>2794</v>
      </c>
      <c r="C15" s="8">
        <v>1</v>
      </c>
      <c r="D15" s="9">
        <v>78.11</v>
      </c>
      <c r="E15" s="8" t="s">
        <v>2795</v>
      </c>
      <c r="F15" s="7"/>
      <c r="G15" s="10"/>
      <c r="H15" s="7" t="s">
        <v>3490</v>
      </c>
      <c r="I15" s="7" t="s">
        <v>2796</v>
      </c>
      <c r="J15" s="7"/>
      <c r="K15" s="7"/>
      <c r="L15" s="11" t="str">
        <f>HYPERLINK("http://slimages.macys.com/is/image/MCY/17026133 ")</f>
        <v xml:space="preserve">http://slimages.macys.com/is/image/MCY/17026133 </v>
      </c>
    </row>
    <row r="16" spans="1:12" ht="39.950000000000003" customHeight="1" x14ac:dyDescent="0.25">
      <c r="A16" s="6" t="s">
        <v>2797</v>
      </c>
      <c r="B16" s="7" t="s">
        <v>2798</v>
      </c>
      <c r="C16" s="8">
        <v>1</v>
      </c>
      <c r="D16" s="9">
        <v>55.99</v>
      </c>
      <c r="E16" s="8">
        <v>2695</v>
      </c>
      <c r="F16" s="7" t="s">
        <v>4096</v>
      </c>
      <c r="G16" s="10"/>
      <c r="H16" s="7" t="s">
        <v>3635</v>
      </c>
      <c r="I16" s="7" t="s">
        <v>2799</v>
      </c>
      <c r="J16" s="7" t="s">
        <v>3426</v>
      </c>
      <c r="K16" s="7" t="s">
        <v>2800</v>
      </c>
      <c r="L16" s="11" t="str">
        <f>HYPERLINK("http://slimages.macys.com/is/image/MCY/13917919 ")</f>
        <v xml:space="preserve">http://slimages.macys.com/is/image/MCY/13917919 </v>
      </c>
    </row>
    <row r="17" spans="1:12" ht="39.950000000000003" customHeight="1" x14ac:dyDescent="0.25">
      <c r="A17" s="6" t="s">
        <v>2801</v>
      </c>
      <c r="B17" s="7" t="s">
        <v>2802</v>
      </c>
      <c r="C17" s="8">
        <v>1</v>
      </c>
      <c r="D17" s="9">
        <v>49.99</v>
      </c>
      <c r="E17" s="8" t="s">
        <v>2803</v>
      </c>
      <c r="F17" s="7" t="s">
        <v>3445</v>
      </c>
      <c r="G17" s="10"/>
      <c r="H17" s="7" t="s">
        <v>3478</v>
      </c>
      <c r="I17" s="7" t="s">
        <v>3517</v>
      </c>
      <c r="J17" s="7" t="s">
        <v>3426</v>
      </c>
      <c r="K17" s="7" t="s">
        <v>3592</v>
      </c>
      <c r="L17" s="11" t="str">
        <f>HYPERLINK("http://slimages.macys.com/is/image/MCY/9330026 ")</f>
        <v xml:space="preserve">http://slimages.macys.com/is/image/MCY/9330026 </v>
      </c>
    </row>
    <row r="18" spans="1:12" ht="39.950000000000003" customHeight="1" x14ac:dyDescent="0.25">
      <c r="A18" s="6" t="s">
        <v>2804</v>
      </c>
      <c r="B18" s="7" t="s">
        <v>2805</v>
      </c>
      <c r="C18" s="8">
        <v>1</v>
      </c>
      <c r="D18" s="9">
        <v>78.11</v>
      </c>
      <c r="E18" s="8" t="s">
        <v>2806</v>
      </c>
      <c r="F18" s="7"/>
      <c r="G18" s="10"/>
      <c r="H18" s="7" t="s">
        <v>3490</v>
      </c>
      <c r="I18" s="7" t="s">
        <v>3815</v>
      </c>
      <c r="J18" s="7" t="s">
        <v>3426</v>
      </c>
      <c r="K18" s="7" t="s">
        <v>3518</v>
      </c>
      <c r="L18" s="11" t="str">
        <f>HYPERLINK("http://slimages.macys.com/is/image/MCY/9545845 ")</f>
        <v xml:space="preserve">http://slimages.macys.com/is/image/MCY/9545845 </v>
      </c>
    </row>
    <row r="19" spans="1:12" ht="39.950000000000003" customHeight="1" x14ac:dyDescent="0.25">
      <c r="A19" s="6" t="s">
        <v>2807</v>
      </c>
      <c r="B19" s="7" t="s">
        <v>2808</v>
      </c>
      <c r="C19" s="8">
        <v>1</v>
      </c>
      <c r="D19" s="9">
        <v>49.99</v>
      </c>
      <c r="E19" s="8" t="s">
        <v>2809</v>
      </c>
      <c r="F19" s="7"/>
      <c r="G19" s="10"/>
      <c r="H19" s="7" t="s">
        <v>3478</v>
      </c>
      <c r="I19" s="7" t="s">
        <v>3815</v>
      </c>
      <c r="J19" s="7"/>
      <c r="K19" s="7"/>
      <c r="L19" s="11" t="str">
        <f>HYPERLINK("http://slimages.macys.com/is/image/MCY/16826931 ")</f>
        <v xml:space="preserve">http://slimages.macys.com/is/image/MCY/16826931 </v>
      </c>
    </row>
    <row r="20" spans="1:12" ht="39.950000000000003" customHeight="1" x14ac:dyDescent="0.25">
      <c r="A20" s="6" t="s">
        <v>2810</v>
      </c>
      <c r="B20" s="7" t="s">
        <v>2811</v>
      </c>
      <c r="C20" s="8">
        <v>1</v>
      </c>
      <c r="D20" s="9">
        <v>49.99</v>
      </c>
      <c r="E20" s="8" t="s">
        <v>2812</v>
      </c>
      <c r="F20" s="7"/>
      <c r="G20" s="10"/>
      <c r="H20" s="7" t="s">
        <v>3478</v>
      </c>
      <c r="I20" s="7" t="s">
        <v>3815</v>
      </c>
      <c r="J20" s="7"/>
      <c r="K20" s="7"/>
      <c r="L20" s="11" t="str">
        <f>HYPERLINK("http://slimages.macys.com/is/image/MCY/17088229 ")</f>
        <v xml:space="preserve">http://slimages.macys.com/is/image/MCY/17088229 </v>
      </c>
    </row>
    <row r="21" spans="1:12" ht="39.950000000000003" customHeight="1" x14ac:dyDescent="0.25">
      <c r="A21" s="6" t="s">
        <v>2813</v>
      </c>
      <c r="B21" s="7" t="s">
        <v>2814</v>
      </c>
      <c r="C21" s="8">
        <v>1</v>
      </c>
      <c r="D21" s="9">
        <v>79.989999999999995</v>
      </c>
      <c r="E21" s="8" t="s">
        <v>2815</v>
      </c>
      <c r="F21" s="7" t="s">
        <v>3477</v>
      </c>
      <c r="G21" s="10"/>
      <c r="H21" s="7" t="s">
        <v>3525</v>
      </c>
      <c r="I21" s="7" t="s">
        <v>3704</v>
      </c>
      <c r="J21" s="7" t="s">
        <v>3426</v>
      </c>
      <c r="K21" s="7" t="s">
        <v>3959</v>
      </c>
      <c r="L21" s="11" t="str">
        <f>HYPERLINK("http://slimages.macys.com/is/image/MCY/13121400 ")</f>
        <v xml:space="preserve">http://slimages.macys.com/is/image/MCY/13121400 </v>
      </c>
    </row>
    <row r="22" spans="1:12" ht="39.950000000000003" customHeight="1" x14ac:dyDescent="0.25">
      <c r="A22" s="6" t="s">
        <v>2816</v>
      </c>
      <c r="B22" s="7" t="s">
        <v>2817</v>
      </c>
      <c r="C22" s="8">
        <v>1</v>
      </c>
      <c r="D22" s="9">
        <v>34.99</v>
      </c>
      <c r="E22" s="8" t="s">
        <v>2818</v>
      </c>
      <c r="F22" s="7" t="s">
        <v>3423</v>
      </c>
      <c r="G22" s="10"/>
      <c r="H22" s="7" t="s">
        <v>3490</v>
      </c>
      <c r="I22" s="7" t="s">
        <v>2819</v>
      </c>
      <c r="J22" s="7" t="s">
        <v>3426</v>
      </c>
      <c r="K22" s="7"/>
      <c r="L22" s="11" t="str">
        <f>HYPERLINK("http://slimages.macys.com/is/image/MCY/8754753 ")</f>
        <v xml:space="preserve">http://slimages.macys.com/is/image/MCY/8754753 </v>
      </c>
    </row>
    <row r="23" spans="1:12" ht="39.950000000000003" customHeight="1" x14ac:dyDescent="0.25">
      <c r="A23" s="6" t="s">
        <v>2820</v>
      </c>
      <c r="B23" s="7" t="s">
        <v>2821</v>
      </c>
      <c r="C23" s="8">
        <v>1</v>
      </c>
      <c r="D23" s="9">
        <v>29.99</v>
      </c>
      <c r="E23" s="8" t="s">
        <v>2822</v>
      </c>
      <c r="F23" s="7" t="s">
        <v>4088</v>
      </c>
      <c r="G23" s="10"/>
      <c r="H23" s="7" t="s">
        <v>3568</v>
      </c>
      <c r="I23" s="7" t="s">
        <v>3569</v>
      </c>
      <c r="J23" s="7" t="s">
        <v>3426</v>
      </c>
      <c r="K23" s="7" t="s">
        <v>3447</v>
      </c>
      <c r="L23" s="11" t="str">
        <f>HYPERLINK("http://slimages.macys.com/is/image/MCY/9408114 ")</f>
        <v xml:space="preserve">http://slimages.macys.com/is/image/MCY/9408114 </v>
      </c>
    </row>
    <row r="24" spans="1:12" ht="39.950000000000003" customHeight="1" x14ac:dyDescent="0.25">
      <c r="A24" s="6" t="s">
        <v>2823</v>
      </c>
      <c r="B24" s="7" t="s">
        <v>2824</v>
      </c>
      <c r="C24" s="8">
        <v>1</v>
      </c>
      <c r="D24" s="9">
        <v>29.99</v>
      </c>
      <c r="E24" s="8">
        <v>2000000024</v>
      </c>
      <c r="F24" s="7" t="s">
        <v>3431</v>
      </c>
      <c r="G24" s="10"/>
      <c r="H24" s="7" t="s">
        <v>3478</v>
      </c>
      <c r="I24" s="7" t="s">
        <v>3517</v>
      </c>
      <c r="J24" s="7"/>
      <c r="K24" s="7"/>
      <c r="L24" s="11" t="str">
        <f>HYPERLINK("http://slimages.macys.com/is/image/MCY/17859316 ")</f>
        <v xml:space="preserve">http://slimages.macys.com/is/image/MCY/17859316 </v>
      </c>
    </row>
    <row r="25" spans="1:12" ht="39.950000000000003" customHeight="1" x14ac:dyDescent="0.25">
      <c r="A25" s="6" t="s">
        <v>2825</v>
      </c>
      <c r="B25" s="7" t="s">
        <v>2826</v>
      </c>
      <c r="C25" s="8">
        <v>1</v>
      </c>
      <c r="D25" s="9">
        <v>29.99</v>
      </c>
      <c r="E25" s="8" t="s">
        <v>2827</v>
      </c>
      <c r="F25" s="7" t="s">
        <v>2828</v>
      </c>
      <c r="G25" s="10" t="s">
        <v>4023</v>
      </c>
      <c r="H25" s="7" t="s">
        <v>3654</v>
      </c>
      <c r="I25" s="7" t="s">
        <v>3655</v>
      </c>
      <c r="J25" s="7" t="s">
        <v>3426</v>
      </c>
      <c r="K25" s="7" t="s">
        <v>3492</v>
      </c>
      <c r="L25" s="11" t="str">
        <f>HYPERLINK("http://slimages.macys.com/is/image/MCY/2832511 ")</f>
        <v xml:space="preserve">http://slimages.macys.com/is/image/MCY/2832511 </v>
      </c>
    </row>
    <row r="26" spans="1:12" ht="39.950000000000003" customHeight="1" x14ac:dyDescent="0.25">
      <c r="A26" s="6" t="s">
        <v>2829</v>
      </c>
      <c r="B26" s="7" t="s">
        <v>2830</v>
      </c>
      <c r="C26" s="8">
        <v>2</v>
      </c>
      <c r="D26" s="9">
        <v>37.979999999999997</v>
      </c>
      <c r="E26" s="8" t="s">
        <v>2831</v>
      </c>
      <c r="F26" s="7" t="s">
        <v>3445</v>
      </c>
      <c r="G26" s="10" t="s">
        <v>4031</v>
      </c>
      <c r="H26" s="7" t="s">
        <v>3635</v>
      </c>
      <c r="I26" s="7" t="s">
        <v>2832</v>
      </c>
      <c r="J26" s="7" t="s">
        <v>3426</v>
      </c>
      <c r="K26" s="7" t="s">
        <v>2833</v>
      </c>
      <c r="L26" s="11" t="str">
        <f>HYPERLINK("http://slimages.macys.com/is/image/MCY/10753160 ")</f>
        <v xml:space="preserve">http://slimages.macys.com/is/image/MCY/10753160 </v>
      </c>
    </row>
    <row r="27" spans="1:12" ht="39.950000000000003" customHeight="1" x14ac:dyDescent="0.25">
      <c r="A27" s="6" t="s">
        <v>3836</v>
      </c>
      <c r="B27" s="7" t="s">
        <v>3837</v>
      </c>
      <c r="C27" s="8">
        <v>1</v>
      </c>
      <c r="D27" s="9">
        <v>19.989999999999998</v>
      </c>
      <c r="E27" s="8" t="s">
        <v>3838</v>
      </c>
      <c r="F27" s="7" t="s">
        <v>3832</v>
      </c>
      <c r="G27" s="10" t="s">
        <v>3839</v>
      </c>
      <c r="H27" s="7" t="s">
        <v>3654</v>
      </c>
      <c r="I27" s="7" t="s">
        <v>3840</v>
      </c>
      <c r="J27" s="7" t="s">
        <v>3426</v>
      </c>
      <c r="K27" s="7" t="s">
        <v>3492</v>
      </c>
      <c r="L27" s="11" t="str">
        <f>HYPERLINK("http://slimages.macys.com/is/image/MCY/12723168 ")</f>
        <v xml:space="preserve">http://slimages.macys.com/is/image/MCY/12723168 </v>
      </c>
    </row>
    <row r="28" spans="1:12" ht="39.950000000000003" customHeight="1" x14ac:dyDescent="0.25">
      <c r="A28" s="6" t="s">
        <v>2834</v>
      </c>
      <c r="B28" s="7" t="s">
        <v>2835</v>
      </c>
      <c r="C28" s="8">
        <v>1</v>
      </c>
      <c r="D28" s="9">
        <v>17.989999999999998</v>
      </c>
      <c r="E28" s="8">
        <v>6535414</v>
      </c>
      <c r="F28" s="7" t="s">
        <v>3755</v>
      </c>
      <c r="G28" s="10" t="s">
        <v>4031</v>
      </c>
      <c r="H28" s="7" t="s">
        <v>3583</v>
      </c>
      <c r="I28" s="7" t="s">
        <v>3846</v>
      </c>
      <c r="J28" s="7" t="s">
        <v>3426</v>
      </c>
      <c r="K28" s="7" t="s">
        <v>3492</v>
      </c>
      <c r="L28" s="11" t="str">
        <f>HYPERLINK("http://slimages.macys.com/is/image/MCY/9799766 ")</f>
        <v xml:space="preserve">http://slimages.macys.com/is/image/MCY/9799766 </v>
      </c>
    </row>
    <row r="29" spans="1:12" ht="39.950000000000003" customHeight="1" x14ac:dyDescent="0.25">
      <c r="A29" s="6" t="s">
        <v>2836</v>
      </c>
      <c r="B29" s="7" t="s">
        <v>2837</v>
      </c>
      <c r="C29" s="8">
        <v>1</v>
      </c>
      <c r="D29" s="9">
        <v>16.989999999999998</v>
      </c>
      <c r="E29" s="8">
        <v>1006327100</v>
      </c>
      <c r="F29" s="7" t="s">
        <v>3463</v>
      </c>
      <c r="G29" s="10" t="s">
        <v>3653</v>
      </c>
      <c r="H29" s="7" t="s">
        <v>3654</v>
      </c>
      <c r="I29" s="7" t="s">
        <v>3655</v>
      </c>
      <c r="J29" s="7" t="s">
        <v>3426</v>
      </c>
      <c r="K29" s="7" t="s">
        <v>3492</v>
      </c>
      <c r="L29" s="11" t="str">
        <f>HYPERLINK("http://slimages.macys.com/is/image/MCY/13469602 ")</f>
        <v xml:space="preserve">http://slimages.macys.com/is/image/MCY/13469602 </v>
      </c>
    </row>
    <row r="30" spans="1:12" ht="39.950000000000003" customHeight="1" x14ac:dyDescent="0.25">
      <c r="A30" s="6" t="s">
        <v>2838</v>
      </c>
      <c r="B30" s="7" t="s">
        <v>2839</v>
      </c>
      <c r="C30" s="8">
        <v>1</v>
      </c>
      <c r="D30" s="9">
        <v>16.989999999999998</v>
      </c>
      <c r="E30" s="8" t="s">
        <v>2840</v>
      </c>
      <c r="F30" s="7" t="s">
        <v>3674</v>
      </c>
      <c r="G30" s="10" t="s">
        <v>3653</v>
      </c>
      <c r="H30" s="7" t="s">
        <v>3654</v>
      </c>
      <c r="I30" s="7" t="s">
        <v>3655</v>
      </c>
      <c r="J30" s="7" t="s">
        <v>3426</v>
      </c>
      <c r="K30" s="7" t="s">
        <v>3492</v>
      </c>
      <c r="L30" s="11" t="str">
        <f>HYPERLINK("http://slimages.macys.com/is/image/MCY/12737864 ")</f>
        <v xml:space="preserve">http://slimages.macys.com/is/image/MCY/12737864 </v>
      </c>
    </row>
    <row r="31" spans="1:12" ht="39.950000000000003" customHeight="1" x14ac:dyDescent="0.25">
      <c r="A31" s="6" t="s">
        <v>2841</v>
      </c>
      <c r="B31" s="7" t="s">
        <v>2842</v>
      </c>
      <c r="C31" s="8">
        <v>1</v>
      </c>
      <c r="D31" s="9">
        <v>7.99</v>
      </c>
      <c r="E31" s="8" t="s">
        <v>2843</v>
      </c>
      <c r="F31" s="7" t="s">
        <v>2844</v>
      </c>
      <c r="G31" s="10"/>
      <c r="H31" s="7" t="s">
        <v>3635</v>
      </c>
      <c r="I31" s="7" t="s">
        <v>2845</v>
      </c>
      <c r="J31" s="7"/>
      <c r="K31" s="7"/>
      <c r="L31" s="11" t="str">
        <f>HYPERLINK("http://slimages.macys.com/is/image/MCY/16468056 ")</f>
        <v xml:space="preserve">http://slimages.macys.com/is/image/MCY/16468056 </v>
      </c>
    </row>
    <row r="32" spans="1:12" ht="39.950000000000003" customHeight="1" x14ac:dyDescent="0.25">
      <c r="A32" s="6" t="s">
        <v>2846</v>
      </c>
      <c r="B32" s="7" t="s">
        <v>2847</v>
      </c>
      <c r="C32" s="8">
        <v>1</v>
      </c>
      <c r="D32" s="9">
        <v>12.99</v>
      </c>
      <c r="E32" s="8" t="s">
        <v>2848</v>
      </c>
      <c r="F32" s="7" t="s">
        <v>3541</v>
      </c>
      <c r="G32" s="10" t="s">
        <v>2849</v>
      </c>
      <c r="H32" s="7" t="s">
        <v>3583</v>
      </c>
      <c r="I32" s="7" t="s">
        <v>2850</v>
      </c>
      <c r="J32" s="7" t="s">
        <v>3426</v>
      </c>
      <c r="K32" s="7" t="s">
        <v>3518</v>
      </c>
      <c r="L32" s="11" t="str">
        <f>HYPERLINK("http://slimages.macys.com/is/image/MCY/15781787 ")</f>
        <v xml:space="preserve">http://slimages.macys.com/is/image/MCY/15781787 </v>
      </c>
    </row>
    <row r="33" spans="1:12" ht="39.950000000000003" customHeight="1" x14ac:dyDescent="0.25">
      <c r="A33" s="6" t="s">
        <v>2851</v>
      </c>
      <c r="B33" s="7" t="s">
        <v>2852</v>
      </c>
      <c r="C33" s="8">
        <v>1</v>
      </c>
      <c r="D33" s="9">
        <v>12.99</v>
      </c>
      <c r="E33" s="8" t="s">
        <v>2853</v>
      </c>
      <c r="F33" s="7" t="s">
        <v>3477</v>
      </c>
      <c r="G33" s="10" t="s">
        <v>2854</v>
      </c>
      <c r="H33" s="7" t="s">
        <v>3635</v>
      </c>
      <c r="I33" s="7" t="s">
        <v>3700</v>
      </c>
      <c r="J33" s="7" t="s">
        <v>3426</v>
      </c>
      <c r="K33" s="7" t="s">
        <v>2855</v>
      </c>
      <c r="L33" s="11" t="str">
        <f>HYPERLINK("http://slimages.macys.com/is/image/MCY/15171245 ")</f>
        <v xml:space="preserve">http://slimages.macys.com/is/image/MCY/15171245 </v>
      </c>
    </row>
    <row r="34" spans="1:12" ht="39.950000000000003" customHeight="1" x14ac:dyDescent="0.25">
      <c r="A34" s="6" t="s">
        <v>2856</v>
      </c>
      <c r="B34" s="7" t="s">
        <v>2857</v>
      </c>
      <c r="C34" s="8">
        <v>1</v>
      </c>
      <c r="D34" s="9">
        <v>12.99</v>
      </c>
      <c r="E34" s="8">
        <v>1001228300</v>
      </c>
      <c r="F34" s="7" t="s">
        <v>3431</v>
      </c>
      <c r="G34" s="10" t="s">
        <v>4031</v>
      </c>
      <c r="H34" s="7" t="s">
        <v>3654</v>
      </c>
      <c r="I34" s="7" t="s">
        <v>3655</v>
      </c>
      <c r="J34" s="7" t="s">
        <v>3426</v>
      </c>
      <c r="K34" s="7" t="s">
        <v>3492</v>
      </c>
      <c r="L34" s="11" t="str">
        <f>HYPERLINK("http://slimages.macys.com/is/image/MCY/13079193 ")</f>
        <v xml:space="preserve">http://slimages.macys.com/is/image/MCY/13079193 </v>
      </c>
    </row>
    <row r="35" spans="1:12" ht="39.950000000000003" customHeight="1" x14ac:dyDescent="0.25">
      <c r="A35" s="6" t="s">
        <v>2858</v>
      </c>
      <c r="B35" s="7" t="s">
        <v>2859</v>
      </c>
      <c r="C35" s="8">
        <v>1</v>
      </c>
      <c r="D35" s="9">
        <v>5.99</v>
      </c>
      <c r="E35" s="8" t="s">
        <v>2860</v>
      </c>
      <c r="F35" s="7" t="s">
        <v>3463</v>
      </c>
      <c r="G35" s="10" t="s">
        <v>4031</v>
      </c>
      <c r="H35" s="7" t="s">
        <v>3635</v>
      </c>
      <c r="I35" s="7" t="s">
        <v>3508</v>
      </c>
      <c r="J35" s="7" t="s">
        <v>3426</v>
      </c>
      <c r="K35" s="7" t="s">
        <v>3556</v>
      </c>
      <c r="L35" s="11" t="str">
        <f>HYPERLINK("http://slimages.macys.com/is/image/MCY/11925396 ")</f>
        <v xml:space="preserve">http://slimages.macys.com/is/image/MCY/11925396 </v>
      </c>
    </row>
    <row r="36" spans="1:12" ht="39.950000000000003" customHeight="1" x14ac:dyDescent="0.25">
      <c r="A36" s="6" t="s">
        <v>2861</v>
      </c>
      <c r="B36" s="7" t="s">
        <v>2862</v>
      </c>
      <c r="C36" s="8">
        <v>1</v>
      </c>
      <c r="D36" s="9">
        <v>5.99</v>
      </c>
      <c r="E36" s="8" t="s">
        <v>2863</v>
      </c>
      <c r="F36" s="7" t="s">
        <v>4325</v>
      </c>
      <c r="G36" s="10" t="s">
        <v>4031</v>
      </c>
      <c r="H36" s="7" t="s">
        <v>3635</v>
      </c>
      <c r="I36" s="7" t="s">
        <v>3508</v>
      </c>
      <c r="J36" s="7" t="s">
        <v>3426</v>
      </c>
      <c r="K36" s="7" t="s">
        <v>3556</v>
      </c>
      <c r="L36" s="11" t="str">
        <f>HYPERLINK("http://slimages.macys.com/is/image/MCY/11925396 ")</f>
        <v xml:space="preserve">http://slimages.macys.com/is/image/MCY/11925396 </v>
      </c>
    </row>
    <row r="37" spans="1:12" ht="39.950000000000003" customHeight="1" x14ac:dyDescent="0.25">
      <c r="A37" s="6" t="s">
        <v>2864</v>
      </c>
      <c r="B37" s="7" t="s">
        <v>2865</v>
      </c>
      <c r="C37" s="8">
        <v>1</v>
      </c>
      <c r="D37" s="9">
        <v>3.99</v>
      </c>
      <c r="E37" s="8" t="s">
        <v>2866</v>
      </c>
      <c r="F37" s="7" t="s">
        <v>3484</v>
      </c>
      <c r="G37" s="10" t="s">
        <v>3653</v>
      </c>
      <c r="H37" s="7" t="s">
        <v>3635</v>
      </c>
      <c r="I37" s="7" t="s">
        <v>3517</v>
      </c>
      <c r="J37" s="7" t="s">
        <v>3426</v>
      </c>
      <c r="K37" s="7"/>
      <c r="L37" s="11" t="str">
        <f>HYPERLINK("http://slimages.macys.com/is/image/MCY/13909845 ")</f>
        <v xml:space="preserve">http://slimages.macys.com/is/image/MCY/13909845 </v>
      </c>
    </row>
    <row r="38" spans="1:12" ht="39.950000000000003" customHeight="1" x14ac:dyDescent="0.25">
      <c r="A38" s="6" t="s">
        <v>2867</v>
      </c>
      <c r="B38" s="7" t="s">
        <v>2868</v>
      </c>
      <c r="C38" s="8">
        <v>2</v>
      </c>
      <c r="D38" s="9">
        <v>15.98</v>
      </c>
      <c r="E38" s="8" t="s">
        <v>2869</v>
      </c>
      <c r="F38" s="7" t="s">
        <v>2870</v>
      </c>
      <c r="G38" s="10" t="s">
        <v>4360</v>
      </c>
      <c r="H38" s="7" t="s">
        <v>3635</v>
      </c>
      <c r="I38" s="7" t="s">
        <v>3700</v>
      </c>
      <c r="J38" s="7" t="s">
        <v>3426</v>
      </c>
      <c r="K38" s="7" t="s">
        <v>2855</v>
      </c>
      <c r="L38" s="11" t="str">
        <f>HYPERLINK("http://slimages.macys.com/is/image/MCY/15893113 ")</f>
        <v xml:space="preserve">http://slimages.macys.com/is/image/MCY/15893113 </v>
      </c>
    </row>
    <row r="39" spans="1:12" ht="39.950000000000003" customHeight="1" x14ac:dyDescent="0.25">
      <c r="A39" s="6" t="s">
        <v>2871</v>
      </c>
      <c r="B39" s="7" t="s">
        <v>2872</v>
      </c>
      <c r="C39" s="8">
        <v>2</v>
      </c>
      <c r="D39" s="9">
        <v>15.98</v>
      </c>
      <c r="E39" s="8" t="s">
        <v>2873</v>
      </c>
      <c r="F39" s="7" t="s">
        <v>3530</v>
      </c>
      <c r="G39" s="10" t="s">
        <v>4360</v>
      </c>
      <c r="H39" s="7" t="s">
        <v>3654</v>
      </c>
      <c r="I39" s="7" t="s">
        <v>3655</v>
      </c>
      <c r="J39" s="7" t="s">
        <v>3426</v>
      </c>
      <c r="K39" s="7" t="s">
        <v>3492</v>
      </c>
      <c r="L39" s="11" t="str">
        <f>HYPERLINK("http://slimages.macys.com/is/image/MCY/12737732 ")</f>
        <v xml:space="preserve">http://slimages.macys.com/is/image/MCY/12737732 </v>
      </c>
    </row>
    <row r="40" spans="1:12" ht="39.950000000000003" customHeight="1" x14ac:dyDescent="0.25">
      <c r="A40" s="6" t="s">
        <v>2874</v>
      </c>
      <c r="B40" s="7" t="s">
        <v>2875</v>
      </c>
      <c r="C40" s="8">
        <v>1</v>
      </c>
      <c r="D40" s="9">
        <v>7.99</v>
      </c>
      <c r="E40" s="8" t="s">
        <v>2876</v>
      </c>
      <c r="F40" s="7" t="s">
        <v>3484</v>
      </c>
      <c r="G40" s="10" t="s">
        <v>4360</v>
      </c>
      <c r="H40" s="7" t="s">
        <v>3654</v>
      </c>
      <c r="I40" s="7" t="s">
        <v>3655</v>
      </c>
      <c r="J40" s="7" t="s">
        <v>3426</v>
      </c>
      <c r="K40" s="7" t="s">
        <v>3492</v>
      </c>
      <c r="L40" s="11" t="str">
        <f>HYPERLINK("http://slimages.macys.com/is/image/MCY/12737732 ")</f>
        <v xml:space="preserve">http://slimages.macys.com/is/image/MCY/12737732 </v>
      </c>
    </row>
    <row r="41" spans="1:12" ht="39.950000000000003" customHeight="1" x14ac:dyDescent="0.25">
      <c r="A41" s="6" t="s">
        <v>2877</v>
      </c>
      <c r="B41" s="7" t="s">
        <v>2878</v>
      </c>
      <c r="C41" s="8">
        <v>1</v>
      </c>
      <c r="D41" s="9">
        <v>2.99</v>
      </c>
      <c r="E41" s="8" t="s">
        <v>2879</v>
      </c>
      <c r="F41" s="7" t="s">
        <v>3431</v>
      </c>
      <c r="G41" s="10" t="s">
        <v>4031</v>
      </c>
      <c r="H41" s="7" t="s">
        <v>3635</v>
      </c>
      <c r="I41" s="7" t="s">
        <v>3517</v>
      </c>
      <c r="J41" s="7" t="s">
        <v>3426</v>
      </c>
      <c r="K41" s="7"/>
      <c r="L41" s="11" t="str">
        <f>HYPERLINK("http://slimages.macys.com/is/image/MCY/13909832 ")</f>
        <v xml:space="preserve">http://slimages.macys.com/is/image/MCY/13909832 </v>
      </c>
    </row>
    <row r="42" spans="1:12" ht="39.950000000000003" customHeight="1" x14ac:dyDescent="0.25">
      <c r="A42" s="6" t="s">
        <v>2880</v>
      </c>
      <c r="B42" s="7" t="s">
        <v>2881</v>
      </c>
      <c r="C42" s="8">
        <v>1</v>
      </c>
      <c r="D42" s="9">
        <v>2.99</v>
      </c>
      <c r="E42" s="8" t="s">
        <v>2882</v>
      </c>
      <c r="F42" s="7" t="s">
        <v>4058</v>
      </c>
      <c r="G42" s="10" t="s">
        <v>4031</v>
      </c>
      <c r="H42" s="7" t="s">
        <v>3635</v>
      </c>
      <c r="I42" s="7" t="s">
        <v>3517</v>
      </c>
      <c r="J42" s="7" t="s">
        <v>3426</v>
      </c>
      <c r="K42" s="7"/>
      <c r="L42" s="11" t="str">
        <f>HYPERLINK("http://slimages.macys.com/is/image/MCY/13909832 ")</f>
        <v xml:space="preserve">http://slimages.macys.com/is/image/MCY/13909832 </v>
      </c>
    </row>
    <row r="43" spans="1:12" ht="39.950000000000003" customHeight="1" x14ac:dyDescent="0.25">
      <c r="A43" s="6" t="s">
        <v>2883</v>
      </c>
      <c r="B43" s="7" t="s">
        <v>2884</v>
      </c>
      <c r="C43" s="8">
        <v>2</v>
      </c>
      <c r="D43" s="9">
        <v>5.98</v>
      </c>
      <c r="E43" s="8" t="s">
        <v>2885</v>
      </c>
      <c r="F43" s="7" t="s">
        <v>2886</v>
      </c>
      <c r="G43" s="10" t="s">
        <v>4031</v>
      </c>
      <c r="H43" s="7" t="s">
        <v>3635</v>
      </c>
      <c r="I43" s="7" t="s">
        <v>3517</v>
      </c>
      <c r="J43" s="7" t="s">
        <v>3426</v>
      </c>
      <c r="K43" s="7"/>
      <c r="L43" s="11" t="str">
        <f>HYPERLINK("http://slimages.macys.com/is/image/MCY/13909832 ")</f>
        <v xml:space="preserve">http://slimages.macys.com/is/image/MCY/13909832 </v>
      </c>
    </row>
    <row r="44" spans="1:12" ht="39.950000000000003" customHeight="1" x14ac:dyDescent="0.25">
      <c r="A44" s="6" t="s">
        <v>2887</v>
      </c>
      <c r="B44" s="7" t="s">
        <v>2888</v>
      </c>
      <c r="C44" s="8">
        <v>1</v>
      </c>
      <c r="D44" s="9">
        <v>179.99</v>
      </c>
      <c r="E44" s="8">
        <v>82279</v>
      </c>
      <c r="F44" s="7" t="s">
        <v>3535</v>
      </c>
      <c r="G44" s="10"/>
      <c r="H44" s="7" t="s">
        <v>3478</v>
      </c>
      <c r="I44" s="7" t="s">
        <v>3479</v>
      </c>
      <c r="J44" s="7"/>
      <c r="K44" s="7"/>
      <c r="L44" s="11"/>
    </row>
    <row r="45" spans="1:12" ht="39.950000000000003" customHeight="1" x14ac:dyDescent="0.25">
      <c r="A45" s="6" t="s">
        <v>3667</v>
      </c>
      <c r="B45" s="7" t="s">
        <v>3668</v>
      </c>
      <c r="C45" s="8">
        <v>10</v>
      </c>
      <c r="D45" s="9">
        <v>400</v>
      </c>
      <c r="E45" s="8"/>
      <c r="F45" s="7" t="s">
        <v>3610</v>
      </c>
      <c r="G45" s="10" t="s">
        <v>3489</v>
      </c>
      <c r="H45" s="7" t="s">
        <v>3669</v>
      </c>
      <c r="I45" s="7" t="s">
        <v>3670</v>
      </c>
      <c r="J45" s="7"/>
      <c r="K45" s="7"/>
      <c r="L45" s="11"/>
    </row>
    <row r="46" spans="1:12" ht="39.950000000000003" customHeight="1" x14ac:dyDescent="0.25">
      <c r="A46" s="6" t="s">
        <v>2889</v>
      </c>
      <c r="B46" s="7" t="s">
        <v>2890</v>
      </c>
      <c r="C46" s="8">
        <v>1</v>
      </c>
      <c r="D46" s="9">
        <v>88</v>
      </c>
      <c r="E46" s="8" t="s">
        <v>2891</v>
      </c>
      <c r="F46" s="7" t="s">
        <v>3610</v>
      </c>
      <c r="G46" s="10" t="s">
        <v>3489</v>
      </c>
      <c r="H46" s="7" t="s">
        <v>2471</v>
      </c>
      <c r="I46" s="7" t="s">
        <v>3777</v>
      </c>
      <c r="J46" s="7"/>
      <c r="K46" s="7"/>
      <c r="L46" s="11"/>
    </row>
    <row r="47" spans="1:12" ht="39.950000000000003" customHeight="1" x14ac:dyDescent="0.25">
      <c r="A47" s="6" t="s">
        <v>2892</v>
      </c>
      <c r="B47" s="7" t="s">
        <v>2893</v>
      </c>
      <c r="C47" s="8">
        <v>1</v>
      </c>
      <c r="D47" s="9">
        <v>47.99</v>
      </c>
      <c r="E47" s="8" t="s">
        <v>2894</v>
      </c>
      <c r="F47" s="7" t="s">
        <v>3530</v>
      </c>
      <c r="G47" s="10" t="s">
        <v>3439</v>
      </c>
      <c r="H47" s="7" t="s">
        <v>3676</v>
      </c>
      <c r="I47" s="7" t="s">
        <v>3677</v>
      </c>
      <c r="J47" s="7"/>
      <c r="K47" s="7"/>
      <c r="L47" s="11"/>
    </row>
    <row r="48" spans="1:12" ht="39.950000000000003" customHeight="1" x14ac:dyDescent="0.25">
      <c r="A48" s="6" t="s">
        <v>2895</v>
      </c>
      <c r="B48" s="7" t="s">
        <v>2896</v>
      </c>
      <c r="C48" s="8">
        <v>1</v>
      </c>
      <c r="D48" s="9">
        <v>41.99</v>
      </c>
      <c r="E48" s="8" t="s">
        <v>2897</v>
      </c>
      <c r="F48" s="7" t="s">
        <v>3496</v>
      </c>
      <c r="G48" s="10"/>
      <c r="H48" s="7" t="s">
        <v>3676</v>
      </c>
      <c r="I48" s="7" t="s">
        <v>3677</v>
      </c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Summary </vt:lpstr>
      <vt:lpstr>Pallet 1</vt:lpstr>
      <vt:lpstr>Pallet 2</vt:lpstr>
      <vt:lpstr>Pallet 3</vt:lpstr>
      <vt:lpstr>Pallet 4</vt:lpstr>
      <vt:lpstr>Pallet 5</vt:lpstr>
      <vt:lpstr>Pallet 6</vt:lpstr>
      <vt:lpstr>Pallet 7</vt:lpstr>
      <vt:lpstr>Pallet 8</vt:lpstr>
      <vt:lpstr>Pallet 9</vt:lpstr>
      <vt:lpstr>Pallet 10</vt:lpstr>
      <vt:lpstr>Pallet 11</vt:lpstr>
      <vt:lpstr>Pallet 12</vt:lpstr>
      <vt:lpstr>Pallet 13</vt:lpstr>
      <vt:lpstr>Pallet 14</vt:lpstr>
      <vt:lpstr>Pallet 15</vt:lpstr>
      <vt:lpstr>Pallet 16</vt:lpstr>
      <vt:lpstr>Pallet 17</vt:lpstr>
      <vt:lpstr>Pallet 18</vt:lpstr>
      <vt:lpstr>Pallet 19</vt:lpstr>
      <vt:lpstr>Pallet 20</vt:lpstr>
      <vt:lpstr>Pallet 21</vt:lpstr>
      <vt:lpstr>Pallet 22</vt:lpstr>
      <vt:lpstr>Pallet 23</vt:lpstr>
      <vt:lpstr>Pallet 24</vt:lpstr>
      <vt:lpstr>Pallet 25</vt:lpstr>
      <vt:lpstr>Pallet 26</vt:lpstr>
      <vt:lpstr>Pallet 27</vt:lpstr>
      <vt:lpstr>Pallet 28</vt:lpstr>
      <vt:lpstr>Pallet 29</vt:lpstr>
      <vt:lpstr>Pallet 30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2021-04-27T14:20:11Z</dcterms:created>
  <dcterms:modified xsi:type="dcterms:W3CDTF">2021-05-01T11:09:44Z</dcterms:modified>
</cp:coreProperties>
</file>